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202300"/>
  <mc:AlternateContent xmlns:mc="http://schemas.openxmlformats.org/markup-compatibility/2006">
    <mc:Choice Requires="x15">
      <x15ac:absPath xmlns:x15ac="http://schemas.microsoft.com/office/spreadsheetml/2010/11/ac" url="D:\仕事用\Financial Planning\タックス\ふるさと納税最適額計算シート\"/>
    </mc:Choice>
  </mc:AlternateContent>
  <xr:revisionPtr revIDLastSave="0" documentId="13_ncr:1_{2ED24DA6-65F0-462D-8A8E-35B4BF83DE32}" xr6:coauthVersionLast="47" xr6:coauthVersionMax="47" xr10:uidLastSave="{00000000-0000-0000-0000-000000000000}"/>
  <workbookProtection workbookAlgorithmName="SHA-512" workbookHashValue="tXOOB0hI0L/Cv8414GQqMbz9Rc5n3WXOV1jiOXmT7Gq4J1xS7R7qHowvcoERntJWYk5zKnYz+Imcb48CEGbTEg==" workbookSaltValue="PEXeS/Ofe5ta32DWO62m/w==" workbookSpinCount="100000" lockStructure="1"/>
  <bookViews>
    <workbookView xWindow="-108" yWindow="-108" windowWidth="23256" windowHeight="13896" firstSheet="1" activeTab="1" xr2:uid="{33CD424D-552E-4084-A63E-AA527FC0147C}"/>
  </bookViews>
  <sheets>
    <sheet name="ふるさと納税最適額計算（非表示）" sheetId="1" state="hidden" r:id="rId1"/>
    <sheet name="ふるさと納税自己負担計算シート" sheetId="6" r:id="rId2"/>
    <sheet name="（参考）住宅ローン減税 制度概要"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 i="6" l="1"/>
  <c r="L56" i="1"/>
  <c r="O9" i="6"/>
  <c r="C49" i="1"/>
  <c r="H18" i="1" l="1"/>
  <c r="G18" i="1"/>
  <c r="G9" i="6"/>
  <c r="G55" i="1"/>
  <c r="C25" i="6"/>
  <c r="D36" i="6" s="1"/>
  <c r="B33" i="6"/>
  <c r="G23" i="1"/>
  <c r="G21" i="1"/>
  <c r="H21" i="1" s="1"/>
  <c r="G20" i="1"/>
  <c r="G22" i="1"/>
  <c r="H22" i="1" s="1"/>
  <c r="C5" i="1"/>
  <c r="C4" i="1"/>
  <c r="C3" i="1"/>
  <c r="G15" i="1" s="1"/>
  <c r="H55" i="1" l="1"/>
  <c r="C50" i="1"/>
  <c r="C35" i="1"/>
  <c r="D40" i="1" s="1"/>
  <c r="S8" i="6"/>
  <c r="P9" i="6" s="1"/>
  <c r="D53" i="1" l="1"/>
  <c r="E53" i="1" s="1"/>
  <c r="C1" i="1"/>
  <c r="C14" i="1"/>
  <c r="E40" i="1"/>
  <c r="H20" i="1"/>
  <c r="G19" i="1" l="1"/>
  <c r="H23" i="1"/>
  <c r="H17" i="1"/>
  <c r="H16" i="1"/>
  <c r="K19" i="1"/>
  <c r="F32" i="1"/>
  <c r="F31" i="1"/>
  <c r="F30" i="1"/>
  <c r="F29" i="1"/>
  <c r="F28" i="1"/>
  <c r="F27" i="1"/>
  <c r="P10" i="1"/>
  <c r="P11" i="1" s="1"/>
  <c r="P12" i="1" s="1"/>
  <c r="P13" i="1" s="1"/>
  <c r="P14" i="1" s="1"/>
  <c r="P15" i="1" s="1"/>
  <c r="N9" i="1"/>
  <c r="O9" i="1" s="1"/>
  <c r="N10" i="1" s="1"/>
  <c r="O10" i="1" s="1"/>
  <c r="N11" i="1" s="1"/>
  <c r="O11" i="1" s="1"/>
  <c r="N12" i="1" s="1"/>
  <c r="O12" i="1" s="1"/>
  <c r="N13" i="1" s="1"/>
  <c r="O13" i="1" s="1"/>
  <c r="N14" i="1" s="1"/>
  <c r="O14" i="1" s="1"/>
  <c r="N15" i="1" s="1"/>
  <c r="O15" i="1" s="1"/>
  <c r="N16" i="1" s="1"/>
  <c r="F7" i="1"/>
  <c r="F6" i="1"/>
  <c r="F5" i="1"/>
  <c r="F4" i="1"/>
  <c r="F3" i="1"/>
  <c r="H19" i="1" l="1"/>
  <c r="H12" i="1"/>
  <c r="E42" i="1"/>
  <c r="G12" i="1"/>
  <c r="J2" i="1"/>
  <c r="J3" i="1"/>
  <c r="J4" i="1"/>
  <c r="J7" i="1"/>
  <c r="J5" i="1"/>
  <c r="J6" i="1"/>
  <c r="H15" i="1"/>
  <c r="K6" i="1"/>
  <c r="G17" i="1"/>
  <c r="K3" i="1"/>
  <c r="K4" i="1"/>
  <c r="K7" i="1"/>
  <c r="K2" i="1"/>
  <c r="K5" i="1"/>
  <c r="G16" i="1"/>
  <c r="C20" i="1" l="1"/>
  <c r="C21" i="1" s="1"/>
  <c r="C6" i="1"/>
  <c r="C7" i="1" s="1"/>
  <c r="C2" i="1" l="1"/>
  <c r="H9" i="1"/>
  <c r="J9" i="1"/>
  <c r="G13" i="1" l="1"/>
  <c r="C10" i="6" s="1"/>
  <c r="G14" i="1"/>
  <c r="H14" i="1"/>
  <c r="H13" i="1"/>
  <c r="C9" i="1" l="1"/>
  <c r="C11" i="6"/>
  <c r="C23" i="1"/>
  <c r="D9" i="1"/>
  <c r="D10" i="1" s="1"/>
  <c r="D23" i="1"/>
  <c r="D24" i="1" s="1"/>
  <c r="D25" i="1" s="1"/>
  <c r="D36" i="1" l="1"/>
  <c r="D37" i="1" s="1"/>
  <c r="E36" i="1"/>
  <c r="C10" i="1"/>
  <c r="H51" i="1"/>
  <c r="D11" i="1"/>
  <c r="C24" i="1"/>
  <c r="J29" i="6" l="1"/>
  <c r="I29" i="6"/>
  <c r="J28" i="6"/>
  <c r="E37" i="1"/>
  <c r="E52" i="1" s="1"/>
  <c r="D52" i="1"/>
  <c r="G37" i="1"/>
  <c r="G36" i="1"/>
  <c r="J27" i="1"/>
  <c r="H49" i="1"/>
  <c r="H50" i="1" s="1"/>
  <c r="J28" i="1"/>
  <c r="D41" i="1"/>
  <c r="E41" i="1" s="1"/>
  <c r="J31" i="1"/>
  <c r="J30" i="1"/>
  <c r="J29" i="1"/>
  <c r="J33" i="1"/>
  <c r="J32" i="1"/>
  <c r="G42" i="1"/>
  <c r="K27" i="1"/>
  <c r="K30" i="1"/>
  <c r="K33" i="1"/>
  <c r="K31" i="1"/>
  <c r="K28" i="1"/>
  <c r="K32" i="1"/>
  <c r="K29" i="1"/>
  <c r="G38" i="1"/>
  <c r="G40" i="1"/>
  <c r="G39" i="1"/>
  <c r="G41" i="1"/>
  <c r="D38" i="1" l="1"/>
  <c r="D51" i="1" s="1"/>
  <c r="D54" i="1" s="1"/>
  <c r="C11" i="1"/>
  <c r="E43" i="1"/>
  <c r="C25" i="1"/>
  <c r="C38" i="1" a="1"/>
  <c r="C38" i="1" s="1"/>
  <c r="E55" i="1" l="1"/>
  <c r="E38" i="1"/>
  <c r="E51" i="1" s="1"/>
  <c r="E54" i="1" s="1"/>
  <c r="C12" i="1"/>
  <c r="E44" i="1"/>
  <c r="E45" i="1" s="1"/>
  <c r="C26" i="1"/>
  <c r="J30" i="6" l="1"/>
  <c r="E56" i="1"/>
  <c r="E57" i="1" s="1"/>
  <c r="E32" i="6" s="1"/>
  <c r="E46" i="1"/>
  <c r="J31" i="6" l="1"/>
  <c r="E31" i="6" l="1"/>
  <c r="E33" i="6" s="1"/>
  <c r="D39" i="1"/>
  <c r="I28" i="6" s="1"/>
  <c r="O15" i="6" l="1"/>
  <c r="E38" i="6"/>
  <c r="D42" i="1"/>
  <c r="D43" i="1" s="1"/>
  <c r="I30" i="6" s="1"/>
  <c r="D45" i="1" l="1"/>
  <c r="D46" i="1" s="1"/>
  <c r="I31" i="6" s="1"/>
  <c r="D31" i="6" s="1"/>
  <c r="N15" i="6" s="1"/>
  <c r="D55" i="1"/>
  <c r="D56" i="1" l="1"/>
  <c r="D57" i="1" s="1"/>
  <c r="D32" i="6" s="1"/>
  <c r="D33" i="6" s="1"/>
  <c r="B34" i="6" l="1"/>
  <c r="P15" i="6"/>
  <c r="D3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市川貴博</author>
  </authors>
  <commentList>
    <comment ref="H9" authorId="0" shapeId="0" xr:uid="{77AFE3A7-17A7-4D4C-9329-F9C11A0B67AA}">
      <text>
        <r>
          <rPr>
            <sz val="9"/>
            <color indexed="81"/>
            <rFont val="Meiryo UI"/>
            <family val="3"/>
            <charset val="128"/>
          </rPr>
          <t>合計所得金額が
1. 900万円以下
2. 950万円以下
3. 1,000万円以下
4. 1,000万円超</t>
        </r>
      </text>
    </comment>
    <comment ref="J9" authorId="0" shapeId="0" xr:uid="{6F9D09D2-58BC-4F8E-B54F-3E3B02C1CA8A}">
      <text>
        <r>
          <rPr>
            <sz val="9"/>
            <color indexed="81"/>
            <rFont val="Meiryo UI"/>
            <family val="3"/>
            <charset val="128"/>
          </rPr>
          <t>合計所得金額が
1. 900万円以下
2. 950万円以下
3. 1,000万円以下
4. 1,000万円超</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<sst xmlns="http://schemas.openxmlformats.org/spreadsheetml/2006/main" count="209" uniqueCount="146">
  <si>
    <t>夫</t>
    <rPh sb="0" eb="1">
      <t>オット</t>
    </rPh>
    <phoneticPr fontId="2"/>
  </si>
  <si>
    <t>住民税</t>
    <rPh sb="0" eb="3">
      <t>ジュウミンゼイ</t>
    </rPh>
    <phoneticPr fontId="2"/>
  </si>
  <si>
    <t>妻</t>
    <rPh sb="0" eb="1">
      <t>ツマ</t>
    </rPh>
    <phoneticPr fontId="2"/>
  </si>
  <si>
    <t>世帯主</t>
    <rPh sb="0" eb="3">
      <t>セタイヌシ</t>
    </rPh>
    <phoneticPr fontId="2"/>
  </si>
  <si>
    <t>給与収入</t>
    <rPh sb="0" eb="2">
      <t>キュウヨ</t>
    </rPh>
    <rPh sb="2" eb="4">
      <t>シュウニュウ</t>
    </rPh>
    <phoneticPr fontId="2"/>
  </si>
  <si>
    <t>円</t>
    <rPh sb="0" eb="1">
      <t>エン</t>
    </rPh>
    <phoneticPr fontId="2"/>
  </si>
  <si>
    <t>◆給与所得控除</t>
    <rPh sb="1" eb="3">
      <t>キュウヨ</t>
    </rPh>
    <rPh sb="3" eb="5">
      <t>ショトク</t>
    </rPh>
    <rPh sb="5" eb="7">
      <t>コウジョ</t>
    </rPh>
    <phoneticPr fontId="2"/>
  </si>
  <si>
    <t>所得税</t>
    <rPh sb="0" eb="3">
      <t>ショトクゼイ</t>
    </rPh>
    <phoneticPr fontId="2"/>
  </si>
  <si>
    <t>あり</t>
    <phoneticPr fontId="2"/>
  </si>
  <si>
    <t>控除対象配偶者</t>
    <rPh sb="0" eb="2">
      <t>コウジョ</t>
    </rPh>
    <rPh sb="2" eb="4">
      <t>タイショウ</t>
    </rPh>
    <rPh sb="4" eb="7">
      <t>ハイグウシャ</t>
    </rPh>
    <phoneticPr fontId="2"/>
  </si>
  <si>
    <t>人</t>
    <rPh sb="0" eb="1">
      <t>ニン</t>
    </rPh>
    <phoneticPr fontId="2"/>
  </si>
  <si>
    <t>配偶者控除</t>
    <rPh sb="0" eb="3">
      <t>ハイグウシャ</t>
    </rPh>
    <rPh sb="3" eb="5">
      <t>コウジョ</t>
    </rPh>
    <phoneticPr fontId="2"/>
  </si>
  <si>
    <t>配偶者の合計所得金額が</t>
    <rPh sb="0" eb="3">
      <t>ハイグウシャ</t>
    </rPh>
    <rPh sb="4" eb="10">
      <t>ゴウケイショトクキンガク</t>
    </rPh>
    <phoneticPr fontId="2"/>
  </si>
  <si>
    <t>円以下の場合に対象</t>
    <rPh sb="0" eb="1">
      <t>エン</t>
    </rPh>
    <rPh sb="1" eb="3">
      <t>イカ</t>
    </rPh>
    <rPh sb="4" eb="6">
      <t>バアイ</t>
    </rPh>
    <rPh sb="7" eb="9">
      <t>タイショウ</t>
    </rPh>
    <phoneticPr fontId="2"/>
  </si>
  <si>
    <t>なし</t>
    <phoneticPr fontId="2"/>
  </si>
  <si>
    <t>子ども16歳～18歳</t>
    <rPh sb="0" eb="1">
      <t>コ</t>
    </rPh>
    <rPh sb="5" eb="6">
      <t>サイ</t>
    </rPh>
    <rPh sb="9" eb="10">
      <t>サイ</t>
    </rPh>
    <phoneticPr fontId="2"/>
  </si>
  <si>
    <t>控除を受ける納税者本人の合計所得金額</t>
    <phoneticPr fontId="2"/>
  </si>
  <si>
    <t>子ども19歳～22歳</t>
    <rPh sb="0" eb="1">
      <t>コ</t>
    </rPh>
    <rPh sb="5" eb="6">
      <t>サイ</t>
    </rPh>
    <rPh sb="9" eb="10">
      <t>サイ</t>
    </rPh>
    <phoneticPr fontId="2"/>
  </si>
  <si>
    <t>同居老親</t>
    <rPh sb="0" eb="2">
      <t>ドウキョ</t>
    </rPh>
    <rPh sb="2" eb="4">
      <t>ロウシン</t>
    </rPh>
    <phoneticPr fontId="2"/>
  </si>
  <si>
    <t>給与所得控除</t>
    <rPh sb="0" eb="2">
      <t>キュウヨ</t>
    </rPh>
    <rPh sb="2" eb="4">
      <t>ショトク</t>
    </rPh>
    <rPh sb="4" eb="6">
      <t>コウジョ</t>
    </rPh>
    <phoneticPr fontId="2"/>
  </si>
  <si>
    <t>給与所得</t>
    <rPh sb="0" eb="2">
      <t>キュウヨ</t>
    </rPh>
    <rPh sb="2" eb="4">
      <t>ショトク</t>
    </rPh>
    <phoneticPr fontId="2"/>
  </si>
  <si>
    <t>配偶者特別控除</t>
    <rPh sb="0" eb="7">
      <t>ハイグウシャトクベツコウジョ</t>
    </rPh>
    <phoneticPr fontId="2"/>
  </si>
  <si>
    <t>所得控除</t>
    <rPh sb="0" eb="2">
      <t>ショトク</t>
    </rPh>
    <rPh sb="2" eb="4">
      <t>コウジョ</t>
    </rPh>
    <phoneticPr fontId="2"/>
  </si>
  <si>
    <t>◆所得控除</t>
    <rPh sb="1" eb="5">
      <t>ショトクコウジョ</t>
    </rPh>
    <phoneticPr fontId="2"/>
  </si>
  <si>
    <t>課税給与所得</t>
    <rPh sb="0" eb="2">
      <t>カゼイ</t>
    </rPh>
    <rPh sb="2" eb="4">
      <t>キュウヨ</t>
    </rPh>
    <rPh sb="4" eb="6">
      <t>ショトク</t>
    </rPh>
    <phoneticPr fontId="2"/>
  </si>
  <si>
    <t>税額</t>
    <rPh sb="0" eb="2">
      <t>ゼイガク</t>
    </rPh>
    <phoneticPr fontId="2"/>
  </si>
  <si>
    <t>手取り収入</t>
    <rPh sb="0" eb="2">
      <t>テド</t>
    </rPh>
    <rPh sb="3" eb="5">
      <t>シュウニュウ</t>
    </rPh>
    <phoneticPr fontId="2"/>
  </si>
  <si>
    <t>基礎控除</t>
    <rPh sb="0" eb="4">
      <t>キソコウジョ</t>
    </rPh>
    <phoneticPr fontId="2"/>
  </si>
  <si>
    <t>配偶者</t>
    <rPh sb="0" eb="3">
      <t>ハイグウシャ</t>
    </rPh>
    <phoneticPr fontId="2"/>
  </si>
  <si>
    <t>配偶者特別控除</t>
    <rPh sb="0" eb="3">
      <t>ハイグウシャ</t>
    </rPh>
    <rPh sb="3" eb="7">
      <t>トクベツコウジョ</t>
    </rPh>
    <phoneticPr fontId="2"/>
  </si>
  <si>
    <t>社会保険料控除</t>
    <rPh sb="0" eb="2">
      <t>シャカイ</t>
    </rPh>
    <rPh sb="2" eb="5">
      <t>ホケンリョウ</t>
    </rPh>
    <rPh sb="5" eb="7">
      <t>コウジョ</t>
    </rPh>
    <phoneticPr fontId="2"/>
  </si>
  <si>
    <t>扶養控除</t>
    <rPh sb="0" eb="4">
      <t>フヨウコウジョ</t>
    </rPh>
    <phoneticPr fontId="2"/>
  </si>
  <si>
    <t>社会保険料率設定</t>
    <rPh sb="0" eb="5">
      <t>シャカイホケンリョウ</t>
    </rPh>
    <rPh sb="5" eb="6">
      <t>リツ</t>
    </rPh>
    <rPh sb="6" eb="8">
      <t>セッテイ</t>
    </rPh>
    <phoneticPr fontId="2"/>
  </si>
  <si>
    <t>生命保険料控除</t>
    <rPh sb="0" eb="2">
      <t>セイメイ</t>
    </rPh>
    <rPh sb="2" eb="5">
      <t>ホケンリョウ</t>
    </rPh>
    <rPh sb="5" eb="7">
      <t>コウジョ</t>
    </rPh>
    <phoneticPr fontId="2"/>
  </si>
  <si>
    <t>扶養親族（16歳～18歳）</t>
    <rPh sb="0" eb="2">
      <t>フヨウ</t>
    </rPh>
    <rPh sb="2" eb="4">
      <t>シンゾク</t>
    </rPh>
    <rPh sb="7" eb="8">
      <t>サイ</t>
    </rPh>
    <rPh sb="11" eb="12">
      <t>サイ</t>
    </rPh>
    <phoneticPr fontId="2"/>
  </si>
  <si>
    <t>地震保険料控除</t>
    <rPh sb="0" eb="2">
      <t>ジシン</t>
    </rPh>
    <rPh sb="2" eb="5">
      <t>ホケンリョウ</t>
    </rPh>
    <rPh sb="5" eb="7">
      <t>コウジョ</t>
    </rPh>
    <phoneticPr fontId="2"/>
  </si>
  <si>
    <t>特定扶養親族（19歳～22歳）</t>
    <rPh sb="0" eb="2">
      <t>トクテイ</t>
    </rPh>
    <rPh sb="2" eb="4">
      <t>フヨウ</t>
    </rPh>
    <rPh sb="4" eb="6">
      <t>シンゾク</t>
    </rPh>
    <rPh sb="9" eb="10">
      <t>サイ</t>
    </rPh>
    <rPh sb="13" eb="14">
      <t>サイ</t>
    </rPh>
    <phoneticPr fontId="2"/>
  </si>
  <si>
    <t>老人扶養親族（70歳以上）</t>
    <rPh sb="0" eb="2">
      <t>ロウジン</t>
    </rPh>
    <rPh sb="2" eb="4">
      <t>フヨウ</t>
    </rPh>
    <rPh sb="4" eb="6">
      <t>シンゾク</t>
    </rPh>
    <rPh sb="9" eb="10">
      <t>サイ</t>
    </rPh>
    <rPh sb="10" eb="12">
      <t>イジョウ</t>
    </rPh>
    <phoneticPr fontId="2"/>
  </si>
  <si>
    <t>◆所得税計算</t>
    <rPh sb="1" eb="4">
      <t>ショトクゼイ</t>
    </rPh>
    <rPh sb="4" eb="6">
      <t>ケイサン</t>
    </rPh>
    <phoneticPr fontId="2"/>
  </si>
  <si>
    <t>生命保険料控除</t>
    <rPh sb="0" eb="5">
      <t>セイメイホケンリョウ</t>
    </rPh>
    <rPh sb="5" eb="7">
      <t>コウジョ</t>
    </rPh>
    <phoneticPr fontId="2"/>
  </si>
  <si>
    <t>一般、介護医療、年金、それぞれ8万円→とりあえず8万円</t>
    <rPh sb="0" eb="2">
      <t>イッパン</t>
    </rPh>
    <rPh sb="3" eb="7">
      <t>カイゴイリョウ</t>
    </rPh>
    <rPh sb="8" eb="10">
      <t>ネンキン</t>
    </rPh>
    <rPh sb="16" eb="18">
      <t>マンエン</t>
    </rPh>
    <rPh sb="25" eb="27">
      <t>マンエン</t>
    </rPh>
    <phoneticPr fontId="2"/>
  </si>
  <si>
    <t>一般、介護医療、年金、それぞれ2.8万円→とりあえず5.6万円</t>
    <rPh sb="0" eb="2">
      <t>イッパン</t>
    </rPh>
    <rPh sb="3" eb="7">
      <t>カイゴイリョウ</t>
    </rPh>
    <rPh sb="8" eb="10">
      <t>ネンキン</t>
    </rPh>
    <rPh sb="18" eb="20">
      <t>マンエン</t>
    </rPh>
    <rPh sb="29" eb="31">
      <t>マンエン</t>
    </rPh>
    <phoneticPr fontId="2"/>
  </si>
  <si>
    <t>地震保険料控除</t>
    <rPh sb="0" eb="2">
      <t>ジシン</t>
    </rPh>
    <rPh sb="2" eb="7">
      <t>ホケンリョウコウジョ</t>
    </rPh>
    <phoneticPr fontId="2"/>
  </si>
  <si>
    <t>最高5万円→とりあえず2.5万円</t>
    <rPh sb="0" eb="2">
      <t>サイコウ</t>
    </rPh>
    <rPh sb="3" eb="5">
      <t>マンエン</t>
    </rPh>
    <rPh sb="14" eb="16">
      <t>マンエン</t>
    </rPh>
    <phoneticPr fontId="2"/>
  </si>
  <si>
    <t>最高2.5万円→とりあえず1.25万円</t>
    <rPh sb="0" eb="2">
      <t>サイコウ</t>
    </rPh>
    <rPh sb="5" eb="7">
      <t>マンエン</t>
    </rPh>
    <rPh sb="17" eb="19">
      <t>マンエン</t>
    </rPh>
    <phoneticPr fontId="2"/>
  </si>
  <si>
    <t>住宅ローン残高</t>
    <rPh sb="0" eb="2">
      <t>ジュウタク</t>
    </rPh>
    <rPh sb="5" eb="7">
      <t>ザンダカ</t>
    </rPh>
    <phoneticPr fontId="2"/>
  </si>
  <si>
    <t>住民税から控除分</t>
    <rPh sb="0" eb="3">
      <t>ジュウミンゼイ</t>
    </rPh>
    <rPh sb="5" eb="8">
      <t>コウジョブン</t>
    </rPh>
    <phoneticPr fontId="2"/>
  </si>
  <si>
    <t>ふるさと納税額</t>
    <rPh sb="4" eb="6">
      <t>ノウゼイ</t>
    </rPh>
    <rPh sb="6" eb="7">
      <t>ガク</t>
    </rPh>
    <phoneticPr fontId="2"/>
  </si>
  <si>
    <t>所得控除</t>
    <rPh sb="0" eb="4">
      <t>ショトクコウジョ</t>
    </rPh>
    <phoneticPr fontId="2"/>
  </si>
  <si>
    <t>ワンストップ特例</t>
    <rPh sb="6" eb="8">
      <t>トクレイ</t>
    </rPh>
    <phoneticPr fontId="2"/>
  </si>
  <si>
    <t>確定申告</t>
    <rPh sb="0" eb="4">
      <t>カクテイシンコク</t>
    </rPh>
    <phoneticPr fontId="2"/>
  </si>
  <si>
    <t>課税所得</t>
    <rPh sb="0" eb="2">
      <t>カゼイ</t>
    </rPh>
    <rPh sb="2" eb="4">
      <t>ショトク</t>
    </rPh>
    <phoneticPr fontId="2"/>
  </si>
  <si>
    <t>医療費控除</t>
    <rPh sb="0" eb="5">
      <t>イリョウヒコウジョ</t>
    </rPh>
    <phoneticPr fontId="2"/>
  </si>
  <si>
    <t>住宅ローン減税</t>
    <rPh sb="0" eb="2">
      <t>ジュウタク</t>
    </rPh>
    <rPh sb="5" eb="7">
      <t>ゲンゼイ</t>
    </rPh>
    <phoneticPr fontId="2"/>
  </si>
  <si>
    <t>課税所得×5%</t>
    <rPh sb="0" eb="2">
      <t>カゼイ</t>
    </rPh>
    <rPh sb="2" eb="4">
      <t>ショトク</t>
    </rPh>
    <phoneticPr fontId="2"/>
  </si>
  <si>
    <t>所得税の税率/税額</t>
    <rPh sb="0" eb="3">
      <t>ショトクゼイ</t>
    </rPh>
    <rPh sb="4" eb="6">
      <t>ゼイリツ</t>
    </rPh>
    <rPh sb="7" eb="9">
      <t>ゼイガク</t>
    </rPh>
    <phoneticPr fontId="2"/>
  </si>
  <si>
    <t>住民税からの控除額③</t>
    <rPh sb="0" eb="3">
      <t>ジュウミンゼイ</t>
    </rPh>
    <rPh sb="6" eb="9">
      <t>コウジョガク</t>
    </rPh>
    <phoneticPr fontId="2"/>
  </si>
  <si>
    <t>ふるさと納税による控除上限（特例）</t>
    <rPh sb="4" eb="6">
      <t>ノウゼイ</t>
    </rPh>
    <rPh sb="9" eb="11">
      <t>コウジョ</t>
    </rPh>
    <rPh sb="11" eb="13">
      <t>ジョウゲン</t>
    </rPh>
    <rPh sb="14" eb="16">
      <t>トクレイ</t>
    </rPh>
    <phoneticPr fontId="2"/>
  </si>
  <si>
    <t>ふるさと納税による自己負担額</t>
    <rPh sb="4" eb="6">
      <t>ノウゼイ</t>
    </rPh>
    <rPh sb="9" eb="14">
      <t>ジコフタンガク</t>
    </rPh>
    <phoneticPr fontId="2"/>
  </si>
  <si>
    <t>ふるさと納税によるによる住民税減税分</t>
    <rPh sb="4" eb="6">
      <t>ノウゼイ</t>
    </rPh>
    <rPh sb="12" eb="15">
      <t>ジュウミンゼイ</t>
    </rPh>
    <rPh sb="15" eb="17">
      <t>ゲンゼイ</t>
    </rPh>
    <rPh sb="17" eb="18">
      <t>フン</t>
    </rPh>
    <phoneticPr fontId="2"/>
  </si>
  <si>
    <t>ふるさと納税によるによる所得税減税分①</t>
    <rPh sb="4" eb="6">
      <t>ノウゼイ</t>
    </rPh>
    <rPh sb="12" eb="17">
      <t>ショトクゼイゲンゼイ</t>
    </rPh>
    <rPh sb="17" eb="18">
      <t>フン</t>
    </rPh>
    <phoneticPr fontId="2"/>
  </si>
  <si>
    <t>ふるさと納税による控除額②</t>
    <rPh sb="4" eb="6">
      <t>ノウゼイ</t>
    </rPh>
    <rPh sb="9" eb="11">
      <t>コウジョ</t>
    </rPh>
    <rPh sb="11" eb="12">
      <t>ガク</t>
    </rPh>
    <phoneticPr fontId="2"/>
  </si>
  <si>
    <t>生命保険料控除</t>
    <rPh sb="0" eb="4">
      <t>セイメイホケン</t>
    </rPh>
    <rPh sb="5" eb="7">
      <t>コウジョ</t>
    </rPh>
    <phoneticPr fontId="2"/>
  </si>
  <si>
    <t>ふるさと納税額-2,000円-①-②</t>
    <rPh sb="4" eb="6">
      <t>ノウゼイ</t>
    </rPh>
    <rPh sb="6" eb="7">
      <t>ガク</t>
    </rPh>
    <rPh sb="13" eb="14">
      <t>エン</t>
    </rPh>
    <phoneticPr fontId="2"/>
  </si>
  <si>
    <t>（住民税算出所得割額×20%）</t>
    <rPh sb="1" eb="4">
      <t>ジュウミンゼイ</t>
    </rPh>
    <rPh sb="4" eb="6">
      <t>サンシュツ</t>
    </rPh>
    <rPh sb="6" eb="8">
      <t>ショトク</t>
    </rPh>
    <rPh sb="8" eb="9">
      <t>ワリ</t>
    </rPh>
    <rPh sb="9" eb="10">
      <t>ガク</t>
    </rPh>
    <phoneticPr fontId="2"/>
  </si>
  <si>
    <t>所得税額の計算</t>
    <rPh sb="0" eb="3">
      <t>ショトクゼイ</t>
    </rPh>
    <rPh sb="3" eb="4">
      <t>ガク</t>
    </rPh>
    <rPh sb="5" eb="7">
      <t>ケイサン</t>
    </rPh>
    <phoneticPr fontId="2"/>
  </si>
  <si>
    <t>ふるさと納税最適額の計算（世帯主）</t>
    <rPh sb="4" eb="6">
      <t>ノウゼイ</t>
    </rPh>
    <rPh sb="6" eb="9">
      <t>サイテキガク</t>
    </rPh>
    <rPh sb="10" eb="12">
      <t>ケイサン</t>
    </rPh>
    <rPh sb="13" eb="16">
      <t>セタイヌシ</t>
    </rPh>
    <phoneticPr fontId="2"/>
  </si>
  <si>
    <t>住宅ローン減税（世帯主）</t>
    <rPh sb="0" eb="2">
      <t>ジュウタク</t>
    </rPh>
    <rPh sb="5" eb="7">
      <t>ゲンゼイ</t>
    </rPh>
    <rPh sb="8" eb="11">
      <t>セタイヌシ</t>
    </rPh>
    <phoneticPr fontId="2"/>
  </si>
  <si>
    <t>控除額上限</t>
    <rPh sb="0" eb="3">
      <t>コウジョガク</t>
    </rPh>
    <rPh sb="3" eb="5">
      <t>ジョウゲン</t>
    </rPh>
    <phoneticPr fontId="2"/>
  </si>
  <si>
    <t>ふるさと納税</t>
    <rPh sb="4" eb="6">
      <t>ノウゼイ</t>
    </rPh>
    <phoneticPr fontId="2"/>
  </si>
  <si>
    <t>控除額</t>
    <rPh sb="0" eb="2">
      <t>コウジョ</t>
    </rPh>
    <rPh sb="2" eb="3">
      <t>ガク</t>
    </rPh>
    <phoneticPr fontId="2"/>
  </si>
  <si>
    <t>控除の対象となる住民税</t>
    <rPh sb="0" eb="2">
      <t>コウジョ</t>
    </rPh>
    <rPh sb="3" eb="5">
      <t>タイショウ</t>
    </rPh>
    <rPh sb="8" eb="11">
      <t>ジュウミンゼイ</t>
    </rPh>
    <phoneticPr fontId="2"/>
  </si>
  <si>
    <t>住宅ローン減税②</t>
    <rPh sb="0" eb="2">
      <t>ジュウタク</t>
    </rPh>
    <rPh sb="5" eb="7">
      <t>ゲンゼイ</t>
    </rPh>
    <phoneticPr fontId="2"/>
  </si>
  <si>
    <t>ふるさと納税の自己負担①</t>
    <rPh sb="4" eb="6">
      <t>ノウゼイ</t>
    </rPh>
    <rPh sb="7" eb="11">
      <t>ジコフタン</t>
    </rPh>
    <phoneticPr fontId="2"/>
  </si>
  <si>
    <t>ふるさと納税の申告方法による効果の違い</t>
    <rPh sb="4" eb="6">
      <t>ノウゼイ</t>
    </rPh>
    <rPh sb="7" eb="11">
      <t>シンコクホウホウ</t>
    </rPh>
    <rPh sb="14" eb="16">
      <t>コウカ</t>
    </rPh>
    <rPh sb="17" eb="18">
      <t>チガ</t>
    </rPh>
    <phoneticPr fontId="2"/>
  </si>
  <si>
    <t>このシートでは無効</t>
    <rPh sb="7" eb="9">
      <t>ムコウ</t>
    </rPh>
    <phoneticPr fontId="2"/>
  </si>
  <si>
    <t>所得税額の計算（ふるさと納税用）</t>
    <rPh sb="0" eb="3">
      <t>ショトクゼイ</t>
    </rPh>
    <rPh sb="3" eb="4">
      <t>ガク</t>
    </rPh>
    <rPh sb="5" eb="7">
      <t>ケイサン</t>
    </rPh>
    <rPh sb="12" eb="15">
      <t>ノウゼイヨウ</t>
    </rPh>
    <phoneticPr fontId="2"/>
  </si>
  <si>
    <t>検算用</t>
    <rPh sb="0" eb="3">
      <t>ケンザンヨウ</t>
    </rPh>
    <phoneticPr fontId="2"/>
  </si>
  <si>
    <t>課税所得（所得税）</t>
    <rPh sb="0" eb="4">
      <t>カゼイショトク</t>
    </rPh>
    <rPh sb="5" eb="7">
      <t>ショトク</t>
    </rPh>
    <rPh sb="7" eb="8">
      <t>ゼイ</t>
    </rPh>
    <phoneticPr fontId="2"/>
  </si>
  <si>
    <t>所得税額</t>
    <rPh sb="0" eb="4">
      <t>ショトクゼイガク</t>
    </rPh>
    <phoneticPr fontId="2"/>
  </si>
  <si>
    <t>課税所得（住民税）</t>
    <rPh sb="0" eb="4">
      <t>カゼイショトク</t>
    </rPh>
    <rPh sb="5" eb="7">
      <t>ジュウミン</t>
    </rPh>
    <rPh sb="7" eb="8">
      <t>ゼイ</t>
    </rPh>
    <phoneticPr fontId="2"/>
  </si>
  <si>
    <t>基礎控除</t>
    <rPh sb="0" eb="2">
      <t>キソ</t>
    </rPh>
    <rPh sb="2" eb="4">
      <t>コウジョ</t>
    </rPh>
    <phoneticPr fontId="2"/>
  </si>
  <si>
    <t>（更新2024/4/6）</t>
    <rPh sb="1" eb="3">
      <t>コウシン</t>
    </rPh>
    <phoneticPr fontId="2"/>
  </si>
  <si>
    <t>表1：住宅ローン減税の推移（借入金額の上限と控除率）2022（令和4）年12月入居分まで</t>
    <rPh sb="0" eb="1">
      <t>ヒョウ</t>
    </rPh>
    <rPh sb="3" eb="5">
      <t>ジュウタク</t>
    </rPh>
    <rPh sb="8" eb="10">
      <t>ゲンゼイ</t>
    </rPh>
    <rPh sb="11" eb="13">
      <t>スイイ</t>
    </rPh>
    <rPh sb="14" eb="18">
      <t>カリイレキンガク</t>
    </rPh>
    <rPh sb="19" eb="21">
      <t>ジョウゲン</t>
    </rPh>
    <rPh sb="22" eb="25">
      <t>コウジョリツ</t>
    </rPh>
    <rPh sb="31" eb="33">
      <t>レイワ</t>
    </rPh>
    <rPh sb="35" eb="36">
      <t>ネン</t>
    </rPh>
    <rPh sb="38" eb="39">
      <t>ガツ</t>
    </rPh>
    <rPh sb="39" eb="41">
      <t>ニュウキョ</t>
    </rPh>
    <rPh sb="41" eb="42">
      <t>ブン</t>
    </rPh>
    <phoneticPr fontId="2"/>
  </si>
  <si>
    <t>表2：住宅ローン減税の推移（借入金額の上限と控除率）2023（令和5）年1月入居分から</t>
    <rPh sb="0" eb="1">
      <t>ヒョウ</t>
    </rPh>
    <rPh sb="3" eb="5">
      <t>ジュウタク</t>
    </rPh>
    <rPh sb="8" eb="10">
      <t>ゲンゼイ</t>
    </rPh>
    <rPh sb="11" eb="13">
      <t>スイイ</t>
    </rPh>
    <rPh sb="14" eb="18">
      <t>カリイレキンガク</t>
    </rPh>
    <rPh sb="19" eb="21">
      <t>ジョウゲン</t>
    </rPh>
    <rPh sb="22" eb="25">
      <t>コウジョリツ</t>
    </rPh>
    <rPh sb="31" eb="33">
      <t>レイワ</t>
    </rPh>
    <rPh sb="35" eb="36">
      <t>ネン</t>
    </rPh>
    <rPh sb="37" eb="38">
      <t>ガツ</t>
    </rPh>
    <rPh sb="38" eb="40">
      <t>ニュウキョ</t>
    </rPh>
    <rPh sb="40" eb="41">
      <t>ブン</t>
    </rPh>
    <phoneticPr fontId="2"/>
  </si>
  <si>
    <t>医療費控除</t>
    <rPh sb="0" eb="3">
      <t>イリョウヒ</t>
    </rPh>
    <rPh sb="3" eb="5">
      <t>コウジョ</t>
    </rPh>
    <phoneticPr fontId="2"/>
  </si>
  <si>
    <t>配信開始日</t>
    <rPh sb="0" eb="2">
      <t>ハイシン</t>
    </rPh>
    <rPh sb="2" eb="4">
      <t>カイシ</t>
    </rPh>
    <rPh sb="4" eb="5">
      <t>ビ</t>
    </rPh>
    <phoneticPr fontId="16"/>
  </si>
  <si>
    <t>使用期限</t>
    <rPh sb="0" eb="4">
      <t>シヨウキゲン</t>
    </rPh>
    <phoneticPr fontId="16"/>
  </si>
  <si>
    <t>ステータス</t>
    <phoneticPr fontId="16"/>
  </si>
  <si>
    <t>バージョン</t>
    <phoneticPr fontId="2"/>
  </si>
  <si>
    <t>※使用期間を過ぎると使用できなくなります</t>
    <rPh sb="1" eb="5">
      <t>シヨウキカン</t>
    </rPh>
    <rPh sb="6" eb="7">
      <t>ス</t>
    </rPh>
    <rPh sb="10" eb="12">
      <t>シヨウ</t>
    </rPh>
    <phoneticPr fontId="2"/>
  </si>
  <si>
    <t>申告特例控除④</t>
    <rPh sb="0" eb="2">
      <t>シンコク</t>
    </rPh>
    <rPh sb="2" eb="4">
      <t>トクレイ</t>
    </rPh>
    <rPh sb="4" eb="6">
      <t>コウジョ</t>
    </rPh>
    <phoneticPr fontId="2"/>
  </si>
  <si>
    <t>③×所得税率÷（100％−基本控除率10％−所得税率）</t>
    <phoneticPr fontId="2"/>
  </si>
  <si>
    <t>住民税の調整控除</t>
    <rPh sb="0" eb="3">
      <t>ジュウミンゼイ</t>
    </rPh>
    <rPh sb="4" eb="8">
      <t>チョウセイコウジョ</t>
    </rPh>
    <phoneticPr fontId="2"/>
  </si>
  <si>
    <t>小規模企業共済等掛金控除</t>
    <rPh sb="0" eb="7">
      <t>ショウキボキギョウキョウサイ</t>
    </rPh>
    <rPh sb="7" eb="8">
      <t>トウ</t>
    </rPh>
    <rPh sb="8" eb="10">
      <t>カケキン</t>
    </rPh>
    <rPh sb="10" eb="12">
      <t>コウジョ</t>
    </rPh>
    <phoneticPr fontId="2"/>
  </si>
  <si>
    <t>小規模企業共済等掛金控除</t>
    <rPh sb="0" eb="7">
      <t>ショウキボキギョウキョウサイ</t>
    </rPh>
    <rPh sb="7" eb="8">
      <t>トウ</t>
    </rPh>
    <rPh sb="8" eb="12">
      <t>カケキンコウジョ</t>
    </rPh>
    <phoneticPr fontId="2"/>
  </si>
  <si>
    <t>　　扶養親族の人数を入力　↓</t>
    <rPh sb="2" eb="6">
      <t>フヨウシンゾク</t>
    </rPh>
    <rPh sb="7" eb="9">
      <t>ニンズウ</t>
    </rPh>
    <rPh sb="10" eb="12">
      <t>ニュウリョク</t>
    </rPh>
    <phoneticPr fontId="2"/>
  </si>
  <si>
    <t>住宅ローン減税の最大額</t>
    <rPh sb="0" eb="2">
      <t>ジュウタク</t>
    </rPh>
    <rPh sb="5" eb="7">
      <t>ゲンゼイ</t>
    </rPh>
    <rPh sb="8" eb="11">
      <t>サイダイガク</t>
    </rPh>
    <phoneticPr fontId="2"/>
  </si>
  <si>
    <t>②＋④－①</t>
    <phoneticPr fontId="2"/>
  </si>
  <si>
    <t>←ふるさと納税額を0にして②の最大額を確認し入力してください⑤</t>
    <rPh sb="5" eb="7">
      <t>ノウゼイ</t>
    </rPh>
    <rPh sb="7" eb="8">
      <t>ガク</t>
    </rPh>
    <rPh sb="15" eb="18">
      <t>サイダイガク</t>
    </rPh>
    <rPh sb="19" eb="21">
      <t>カクニン</t>
    </rPh>
    <rPh sb="22" eb="24">
      <t>ニュウリョク</t>
    </rPh>
    <phoneticPr fontId="2"/>
  </si>
  <si>
    <t>⑤の金額以上になる最大値が最適</t>
    <rPh sb="2" eb="4">
      <t>キンガク</t>
    </rPh>
    <rPh sb="4" eb="6">
      <t>イジョウ</t>
    </rPh>
    <rPh sb="9" eb="12">
      <t>サイダイチ</t>
    </rPh>
    <rPh sb="13" eb="15">
      <t>サイテキ</t>
    </rPh>
    <phoneticPr fontId="2"/>
  </si>
  <si>
    <t>スライドバーの数値</t>
    <rPh sb="7" eb="9">
      <t>スウチ</t>
    </rPh>
    <phoneticPr fontId="2"/>
  </si>
  <si>
    <t>同居扶養老親（70歳以上）</t>
    <rPh sb="0" eb="2">
      <t>ドウキョ</t>
    </rPh>
    <rPh sb="2" eb="4">
      <t>フヨウ</t>
    </rPh>
    <rPh sb="4" eb="6">
      <t>ロウシン</t>
    </rPh>
    <rPh sb="11" eb="12">
      <t>ジョウ</t>
    </rPh>
    <phoneticPr fontId="2"/>
  </si>
  <si>
    <t>スライドバーでふるさと納税の金額を調整し、ふるさと納税の最適額を探します</t>
    <rPh sb="11" eb="13">
      <t>ノウゼイ</t>
    </rPh>
    <rPh sb="14" eb="16">
      <t>キンガク</t>
    </rPh>
    <rPh sb="17" eb="19">
      <t>チョウセイ</t>
    </rPh>
    <rPh sb="25" eb="27">
      <t>ノウゼイ</t>
    </rPh>
    <rPh sb="28" eb="31">
      <t>サイテキガク</t>
    </rPh>
    <rPh sb="32" eb="33">
      <t>サガ</t>
    </rPh>
    <phoneticPr fontId="16"/>
  </si>
  <si>
    <t>年収（給与収入）</t>
    <rPh sb="0" eb="2">
      <t>ネンシュウ</t>
    </rPh>
    <rPh sb="3" eb="5">
      <t>キュウヨ</t>
    </rPh>
    <rPh sb="5" eb="7">
      <t>シュウニュウ</t>
    </rPh>
    <phoneticPr fontId="2"/>
  </si>
  <si>
    <t>※iDeCoまたはマッチング拠出の自己負担分</t>
    <rPh sb="14" eb="16">
      <t>キョシュツ</t>
    </rPh>
    <rPh sb="17" eb="22">
      <t>ジコフタンブン</t>
    </rPh>
    <phoneticPr fontId="2"/>
  </si>
  <si>
    <t>その他の控除</t>
    <rPh sb="2" eb="3">
      <t>ホカ</t>
    </rPh>
    <rPh sb="4" eb="6">
      <t>コウジョ</t>
    </rPh>
    <phoneticPr fontId="2"/>
  </si>
  <si>
    <t>基礎控除</t>
    <rPh sb="0" eb="4">
      <t>キソコウジョ</t>
    </rPh>
    <phoneticPr fontId="2"/>
  </si>
  <si>
    <t>配偶者控除</t>
    <rPh sb="0" eb="3">
      <t>ハイグウシャ</t>
    </rPh>
    <rPh sb="3" eb="5">
      <t>コウジョ</t>
    </rPh>
    <phoneticPr fontId="2"/>
  </si>
  <si>
    <t>配偶者特別控除</t>
    <rPh sb="0" eb="3">
      <t>ハイグウシャ</t>
    </rPh>
    <rPh sb="3" eb="7">
      <t>トクベツコウジョ</t>
    </rPh>
    <phoneticPr fontId="2"/>
  </si>
  <si>
    <t>その他の所得控除</t>
    <rPh sb="2" eb="3">
      <t>タ</t>
    </rPh>
    <rPh sb="4" eb="8">
      <t>ショトクコウジョ</t>
    </rPh>
    <phoneticPr fontId="2"/>
  </si>
  <si>
    <t>◆収入</t>
    <rPh sb="1" eb="3">
      <t>シュウニュウ</t>
    </rPh>
    <phoneticPr fontId="2"/>
  </si>
  <si>
    <t>◆所得控除</t>
    <rPh sb="1" eb="5">
      <t>ショトクコウジョ</t>
    </rPh>
    <phoneticPr fontId="2"/>
  </si>
  <si>
    <t>◆住宅ローン減税</t>
    <rPh sb="1" eb="3">
      <t>ジュウタク</t>
    </rPh>
    <rPh sb="6" eb="8">
      <t>ゲンゼイ</t>
    </rPh>
    <phoneticPr fontId="2"/>
  </si>
  <si>
    <t>住宅ローン年末残高に対する控除率</t>
    <rPh sb="0" eb="2">
      <t>ジュウタク</t>
    </rPh>
    <rPh sb="5" eb="9">
      <t>ネンマツザンダカ</t>
    </rPh>
    <rPh sb="10" eb="11">
      <t>タイ</t>
    </rPh>
    <rPh sb="13" eb="15">
      <t>コウジョ</t>
    </rPh>
    <rPh sb="15" eb="16">
      <t>リツ</t>
    </rPh>
    <phoneticPr fontId="2"/>
  </si>
  <si>
    <t>◆ふるさと納税</t>
    <rPh sb="5" eb="7">
      <t>ノウゼイ</t>
    </rPh>
    <phoneticPr fontId="2"/>
  </si>
  <si>
    <t>（所得税）</t>
    <rPh sb="1" eb="4">
      <t>ショトクゼイ</t>
    </rPh>
    <phoneticPr fontId="2"/>
  </si>
  <si>
    <t>（住民税）</t>
    <rPh sb="1" eb="4">
      <t>ジュウミンゼイ</t>
    </rPh>
    <phoneticPr fontId="2"/>
  </si>
  <si>
    <t>※配偶者控除や配偶者特別控除の判定に必要です</t>
    <rPh sb="1" eb="4">
      <t>ハイグウシャ</t>
    </rPh>
    <rPh sb="4" eb="6">
      <t>コウジョ</t>
    </rPh>
    <rPh sb="7" eb="10">
      <t>ハイグウシャ</t>
    </rPh>
    <rPh sb="10" eb="12">
      <t>トクベツ</t>
    </rPh>
    <rPh sb="12" eb="14">
      <t>コウジョ</t>
    </rPh>
    <rPh sb="15" eb="17">
      <t>ハンテイ</t>
    </rPh>
    <rPh sb="18" eb="20">
      <t>ヒツヨウ</t>
    </rPh>
    <phoneticPr fontId="2"/>
  </si>
  <si>
    <t>※2022年1月以降の入居は0.7%、2021年12月以前は1.0%</t>
    <rPh sb="5" eb="6">
      <t>ネン</t>
    </rPh>
    <rPh sb="7" eb="8">
      <t>ガツ</t>
    </rPh>
    <rPh sb="8" eb="10">
      <t>イコウ</t>
    </rPh>
    <rPh sb="11" eb="13">
      <t>ニュウキョ</t>
    </rPh>
    <rPh sb="23" eb="24">
      <t>ネン</t>
    </rPh>
    <rPh sb="26" eb="27">
      <t>ガツ</t>
    </rPh>
    <rPh sb="27" eb="29">
      <t>イゼン</t>
    </rPh>
    <phoneticPr fontId="2"/>
  </si>
  <si>
    <t>住民税の控除上限①</t>
    <rPh sb="0" eb="3">
      <t>ジュウミンゼイ</t>
    </rPh>
    <rPh sb="4" eb="6">
      <t>コウジョ</t>
    </rPh>
    <rPh sb="6" eb="8">
      <t>ジョウゲン</t>
    </rPh>
    <phoneticPr fontId="2"/>
  </si>
  <si>
    <t>住民税の控除上②</t>
    <rPh sb="0" eb="3">
      <t>ジュウミンゼイ</t>
    </rPh>
    <rPh sb="4" eb="6">
      <t>コウジョ</t>
    </rPh>
    <rPh sb="6" eb="7">
      <t>ジョウ</t>
    </rPh>
    <phoneticPr fontId="2"/>
  </si>
  <si>
    <t>◆参考</t>
    <rPh sb="1" eb="3">
      <t>サンコウ</t>
    </rPh>
    <phoneticPr fontId="2"/>
  </si>
  <si>
    <t>1. 本資料の著作権は株式会社エフアンドエス・エキスパートに帰属します。
2. 本資料はお客様の実践支援のために使用期限までご利用いただけます。
3. 本資料は株式会社エフアンドエス・エキスパートが許諾した場合に限り使用できます。
4. 計算は概算であり、端数処理によって結果が異なります。計算結果や情報等に関して生じた損害に対しては一切の責任を負いません。
Copyright© 2024 F&amp;S-Expert ,Inc. All Rights Reserved.</t>
    <rPh sb="122" eb="124">
      <t>ガイサン</t>
    </rPh>
    <rPh sb="136" eb="138">
      <t>ケッカ</t>
    </rPh>
    <phoneticPr fontId="2"/>
  </si>
  <si>
    <t>① 所得税の控除</t>
    <phoneticPr fontId="2"/>
  </si>
  <si>
    <t>② 住民税の控除</t>
    <phoneticPr fontId="2"/>
  </si>
  <si>
    <t>③ ふるさと納税の特例控除</t>
    <phoneticPr fontId="2"/>
  </si>
  <si>
    <t>自己負担</t>
    <rPh sb="0" eb="4">
      <t>ジコフタン</t>
    </rPh>
    <phoneticPr fontId="2"/>
  </si>
  <si>
    <t>◆使い方</t>
    <rPh sb="1" eb="2">
      <t>ツカ</t>
    </rPh>
    <rPh sb="3" eb="4">
      <t>カタ</t>
    </rPh>
    <phoneticPr fontId="16"/>
  </si>
  <si>
    <t>※住宅ローン減税の対象となる上限金額に注意してください</t>
    <rPh sb="1" eb="3">
      <t>ジュウタク</t>
    </rPh>
    <rPh sb="6" eb="8">
      <t>ゲンゼイ</t>
    </rPh>
    <rPh sb="9" eb="11">
      <t>タイショウ</t>
    </rPh>
    <rPh sb="14" eb="18">
      <t>ジョウゲンキンガク</t>
    </rPh>
    <rPh sb="19" eb="21">
      <t>チュウイ</t>
    </rPh>
    <phoneticPr fontId="2"/>
  </si>
  <si>
    <t>2024-FS001</t>
    <phoneticPr fontId="2"/>
  </si>
  <si>
    <t>返礼品率選択リスト</t>
    <rPh sb="0" eb="4">
      <t>ヘンレイヒンリツ</t>
    </rPh>
    <rPh sb="4" eb="6">
      <t>センタク</t>
    </rPh>
    <phoneticPr fontId="2"/>
  </si>
  <si>
    <t>採用返礼品率</t>
    <rPh sb="0" eb="2">
      <t>サイヨウ</t>
    </rPh>
    <rPh sb="2" eb="5">
      <t>ヘンレイヒン</t>
    </rPh>
    <rPh sb="5" eb="6">
      <t>リツ</t>
    </rPh>
    <phoneticPr fontId="2"/>
  </si>
  <si>
    <t>④</t>
    <phoneticPr fontId="2"/>
  </si>
  <si>
    <t>のセルが入力欄です。金額の入力またはセルの▲▼ボタンをクリックして変更してください※該当しないセルは0にしてください</t>
    <rPh sb="4" eb="6">
      <t>ニュウリョク</t>
    </rPh>
    <rPh sb="6" eb="7">
      <t>ラン</t>
    </rPh>
    <rPh sb="10" eb="12">
      <t>キンガク</t>
    </rPh>
    <rPh sb="13" eb="15">
      <t>ニュウリョク</t>
    </rPh>
    <rPh sb="33" eb="35">
      <t>ヘンコウ</t>
    </rPh>
    <rPh sb="42" eb="44">
      <t>ガイトウ</t>
    </rPh>
    <phoneticPr fontId="16"/>
  </si>
  <si>
    <t>返礼品がふるさと納税額の30%の場合</t>
    <rPh sb="16" eb="18">
      <t>バアイ</t>
    </rPh>
    <phoneticPr fontId="2"/>
  </si>
  <si>
    <t>返礼品がふるさと納税額の0%の場合</t>
    <rPh sb="15" eb="17">
      <t>バアイ</t>
    </rPh>
    <phoneticPr fontId="2"/>
  </si>
  <si>
    <t>返礼品がふるさと納税額の5%の場合</t>
    <rPh sb="15" eb="17">
      <t>バアイ</t>
    </rPh>
    <phoneticPr fontId="2"/>
  </si>
  <si>
    <t>返礼品がふるさと納税額の10%の場合</t>
  </si>
  <si>
    <t>返礼品がふるさと納税額の15%の場合</t>
    <rPh sb="16" eb="18">
      <t>バアイ</t>
    </rPh>
    <phoneticPr fontId="2"/>
  </si>
  <si>
    <t>返礼品がふるさと納税額の20%の場合</t>
    <rPh sb="16" eb="18">
      <t>バアイ</t>
    </rPh>
    <phoneticPr fontId="2"/>
  </si>
  <si>
    <t>返礼品がふるさと納税額の25%の場合</t>
    <rPh sb="16" eb="18">
      <t>バアイ</t>
    </rPh>
    <phoneticPr fontId="2"/>
  </si>
  <si>
    <t>返礼品を金額に換算するシミュレーションは参考値です</t>
    <rPh sb="4" eb="6">
      <t>キンガク</t>
    </rPh>
    <rPh sb="7" eb="9">
      <t>カンサン</t>
    </rPh>
    <rPh sb="20" eb="22">
      <t>サンコウ</t>
    </rPh>
    <rPh sb="22" eb="23">
      <t>チ</t>
    </rPh>
    <phoneticPr fontId="2"/>
  </si>
  <si>
    <t>※給与明細や源泉徴収票を参考にしてください</t>
    <rPh sb="1" eb="5">
      <t>キュウヨメイサイ</t>
    </rPh>
    <rPh sb="6" eb="11">
      <t>ゲンセンチョウシュウヒョウ</t>
    </rPh>
    <rPh sb="12" eb="14">
      <t>サンコウ</t>
    </rPh>
    <phoneticPr fontId="2"/>
  </si>
  <si>
    <t>※控除上限額に注意してください</t>
    <rPh sb="1" eb="3">
      <t>コウジョ</t>
    </rPh>
    <rPh sb="3" eb="6">
      <t>ジョウゲンガク</t>
    </rPh>
    <rPh sb="7" eb="9">
      <t>チュウイ</t>
    </rPh>
    <phoneticPr fontId="2"/>
  </si>
  <si>
    <t>本人</t>
    <rPh sb="0" eb="2">
      <t>ホンニン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</si>
</sst>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更&quot;&quot;新&quot;yyyy/m/d\)"/>
    <numFmt numFmtId="177" formatCode="#,##0&quot;万円超&quot;"/>
    <numFmt numFmtId="178" formatCode="#,##0&quot;万円以下&quot;"/>
    <numFmt numFmtId="179" formatCode="#,##0&quot;円&quot;"/>
    <numFmt numFmtId="180" formatCode="0.0%"/>
  </numFmts>
  <fonts count="3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Meiryo UI"/>
      <family val="3"/>
      <charset val="128"/>
    </font>
    <font>
      <sz val="11"/>
      <color theme="1"/>
      <name val="Meiryo UI"/>
      <family val="3"/>
      <charset val="128"/>
    </font>
    <font>
      <sz val="11"/>
      <color rgb="FFFF0000"/>
      <name val="Meiryo UI"/>
      <family val="3"/>
      <charset val="128"/>
    </font>
    <font>
      <sz val="9"/>
      <color indexed="81"/>
      <name val="Meiryo UI"/>
      <family val="3"/>
      <charset val="128"/>
    </font>
    <font>
      <sz val="11"/>
      <color theme="3" tint="0.499984740745262"/>
      <name val="Meiryo UI"/>
      <family val="3"/>
      <charset val="128"/>
    </font>
    <font>
      <sz val="11"/>
      <color theme="0" tint="-0.249977111117893"/>
      <name val="Meiryo UI"/>
      <family val="3"/>
      <charset val="128"/>
    </font>
    <font>
      <sz val="11"/>
      <color theme="9"/>
      <name val="Meiryo UI"/>
      <family val="3"/>
      <charset val="128"/>
    </font>
    <font>
      <sz val="11"/>
      <color theme="8"/>
      <name val="Meiryo UI"/>
      <family val="3"/>
      <charset val="128"/>
    </font>
    <font>
      <sz val="11"/>
      <name val="Meiryo UI"/>
      <family val="3"/>
      <charset val="128"/>
    </font>
    <font>
      <sz val="11"/>
      <color theme="2" tint="-0.499984740745262"/>
      <name val="Meiryo UI"/>
      <family val="3"/>
      <charset val="128"/>
    </font>
    <font>
      <sz val="10"/>
      <color theme="2" tint="-0.499984740745262"/>
      <name val="Meiryo UI"/>
      <family val="3"/>
      <charset val="128"/>
    </font>
    <font>
      <sz val="11"/>
      <color theme="0"/>
      <name val="Meiryo UI"/>
      <family val="3"/>
      <charset val="128"/>
    </font>
    <font>
      <sz val="14"/>
      <color theme="1"/>
      <name val="Meiryo UI"/>
      <family val="3"/>
      <charset val="128"/>
    </font>
    <font>
      <sz val="6"/>
      <name val="ＭＳ Ｐゴシック"/>
      <family val="3"/>
      <charset val="128"/>
    </font>
    <font>
      <sz val="8"/>
      <name val="Meiryo UI"/>
      <family val="3"/>
      <charset val="128"/>
    </font>
    <font>
      <sz val="8.5"/>
      <color theme="1"/>
      <name val="Meiryo UI"/>
      <family val="3"/>
      <charset val="128"/>
    </font>
    <font>
      <sz val="8.5"/>
      <color theme="4" tint="-0.249977111117893"/>
      <name val="Meiryo UI"/>
      <family val="3"/>
      <charset val="128"/>
    </font>
    <font>
      <sz val="8"/>
      <color rgb="FF2F2FFF"/>
      <name val="Meiryo UI"/>
      <family val="3"/>
      <charset val="128"/>
    </font>
    <font>
      <sz val="8.5"/>
      <color theme="0"/>
      <name val="Meiryo UI"/>
      <family val="3"/>
      <charset val="128"/>
    </font>
    <font>
      <sz val="11"/>
      <color theme="2" tint="-0.749992370372631"/>
      <name val="Meiryo UI"/>
      <family val="3"/>
      <charset val="128"/>
    </font>
    <font>
      <sz val="9"/>
      <color theme="2" tint="-0.749992370372631"/>
      <name val="Meiryo UI"/>
      <family val="3"/>
      <charset val="128"/>
    </font>
    <font>
      <sz val="10"/>
      <color theme="2" tint="-0.749992370372631"/>
      <name val="Meiryo UI"/>
      <family val="3"/>
      <charset val="128"/>
    </font>
    <font>
      <sz val="11"/>
      <color rgb="FFECF9FE"/>
      <name val="Meiryo UI"/>
      <family val="3"/>
      <charset val="128"/>
    </font>
    <font>
      <sz val="10"/>
      <name val="Meiryo UI"/>
      <family val="3"/>
      <charset val="128"/>
    </font>
    <font>
      <sz val="8"/>
      <color rgb="FFFF0000"/>
      <name val="Meiryo UI"/>
      <family val="3"/>
      <charset val="128"/>
    </font>
    <font>
      <sz val="8.5"/>
      <color rgb="FFFF0000"/>
      <name val="Meiryo UI"/>
      <family val="3"/>
      <charset val="128"/>
    </font>
    <font>
      <b/>
      <sz val="14"/>
      <color theme="3" tint="0.249977111117893"/>
      <name val="Meiryo UI"/>
      <family val="3"/>
      <charset val="128"/>
    </font>
    <font>
      <sz val="10"/>
      <color theme="5"/>
      <name val="Meiryo UI"/>
      <family val="3"/>
      <charset val="128"/>
    </font>
    <font>
      <sz val="11"/>
      <color theme="5"/>
      <name val="Meiryo UI"/>
      <family val="3"/>
      <charset val="128"/>
    </font>
    <font>
      <sz val="7"/>
      <color theme="1"/>
      <name val="Meiryo UI"/>
      <family val="3"/>
      <charset val="128"/>
    </font>
    <font>
      <sz val="8"/>
      <color theme="1"/>
      <name val="Meiryo UI"/>
      <family val="3"/>
      <charset val="128"/>
    </font>
    <font>
      <sz val="9"/>
      <color theme="5"/>
      <name val="Meiryo UI"/>
      <family val="3"/>
      <charset val="128"/>
    </font>
    <font>
      <sz val="9"/>
      <name val="Meiryo UI"/>
      <family val="3"/>
      <charset val="128"/>
    </font>
    <font>
      <sz val="9"/>
      <color theme="4"/>
      <name val="Meiryo UI"/>
      <family val="3"/>
      <charset val="128"/>
    </font>
    <font>
      <sz val="8"/>
      <color theme="4"/>
      <name val="Meiryo UI"/>
      <family val="3"/>
      <charset val="128"/>
    </font>
  </fonts>
  <fills count="1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CF2E8"/>
        <bgColor indexed="64"/>
      </patternFill>
    </fill>
    <fill>
      <patternFill patternType="solid">
        <fgColor rgb="FFE1F3F1"/>
        <bgColor indexed="64"/>
      </patternFill>
    </fill>
    <fill>
      <patternFill patternType="solid">
        <fgColor theme="8" tint="0.79998168889431442"/>
        <bgColor indexed="64"/>
      </patternFill>
    </fill>
    <fill>
      <patternFill patternType="solid">
        <fgColor rgb="FFF0FAFE"/>
        <bgColor indexed="64"/>
      </patternFill>
    </fill>
    <fill>
      <patternFill patternType="solid">
        <fgColor rgb="FFFEF8F4"/>
        <bgColor indexed="64"/>
      </patternFill>
    </fill>
    <fill>
      <patternFill patternType="solid">
        <fgColor rgb="FFF9FFEF"/>
        <bgColor indexed="64"/>
      </patternFill>
    </fill>
    <fill>
      <patternFill patternType="solid">
        <fgColor rgb="FFEEF5FC"/>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thin">
        <color indexed="64"/>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medium">
        <color theme="9"/>
      </left>
      <right/>
      <top/>
      <bottom/>
      <diagonal/>
    </border>
    <border>
      <left/>
      <right style="medium">
        <color theme="9"/>
      </right>
      <top/>
      <bottom/>
      <diagonal/>
    </border>
    <border>
      <left style="medium">
        <color theme="8" tint="-0.24994659260841701"/>
      </left>
      <right/>
      <top/>
      <bottom/>
      <diagonal/>
    </border>
    <border>
      <left/>
      <right style="medium">
        <color theme="8" tint="-0.24994659260841701"/>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theme="8" tint="-0.24994659260841701"/>
      </right>
      <top style="dotted">
        <color indexed="64"/>
      </top>
      <bottom/>
      <diagonal/>
    </border>
    <border>
      <left style="thin">
        <color indexed="64"/>
      </left>
      <right style="thin">
        <color indexed="64"/>
      </right>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bottom style="dotted">
        <color indexed="64"/>
      </bottom>
      <diagonal/>
    </border>
    <border>
      <left/>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thin">
        <color indexed="64"/>
      </bottom>
      <diagonal/>
    </border>
    <border>
      <left style="thick">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right/>
      <top style="thick">
        <color indexed="64"/>
      </top>
      <bottom/>
      <diagonal/>
    </border>
    <border>
      <left style="medium">
        <color rgb="FFFF4747"/>
      </left>
      <right style="medium">
        <color rgb="FFFF4747"/>
      </right>
      <top style="medium">
        <color rgb="FFFF4747"/>
      </top>
      <bottom style="medium">
        <color rgb="FFFF4747"/>
      </bottom>
      <diagonal/>
    </border>
    <border>
      <left style="medium">
        <color theme="5"/>
      </left>
      <right style="medium">
        <color theme="5"/>
      </right>
      <top style="medium">
        <color theme="5"/>
      </top>
      <bottom style="medium">
        <color theme="5"/>
      </bottom>
      <diagonal/>
    </border>
    <border>
      <left/>
      <right style="thin">
        <color auto="1"/>
      </right>
      <top style="thin">
        <color auto="1"/>
      </top>
      <bottom style="medium">
        <color rgb="FFFF4747"/>
      </bottom>
      <diagonal/>
    </border>
    <border>
      <left style="medium">
        <color theme="5"/>
      </left>
      <right/>
      <top style="medium">
        <color theme="5"/>
      </top>
      <bottom style="medium">
        <color theme="5"/>
      </bottom>
      <diagonal/>
    </border>
    <border>
      <left/>
      <right style="medium">
        <color theme="5"/>
      </right>
      <top style="medium">
        <color theme="5"/>
      </top>
      <bottom style="medium">
        <color theme="5"/>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400">
    <xf numFmtId="0" fontId="0" fillId="0" borderId="0" xfId="0">
      <alignment vertical="center"/>
    </xf>
    <xf numFmtId="0" fontId="4" fillId="0" borderId="3" xfId="0" applyFont="1" applyBorder="1" applyAlignment="1">
      <alignment horizontal="center" vertical="center"/>
    </xf>
    <xf numFmtId="38" fontId="4" fillId="0" borderId="1" xfId="1" applyFont="1" applyBorder="1">
      <alignment vertical="center"/>
    </xf>
    <xf numFmtId="38" fontId="4" fillId="0" borderId="4" xfId="1" applyFont="1" applyBorder="1">
      <alignment vertical="center"/>
    </xf>
    <xf numFmtId="0" fontId="4" fillId="0" borderId="0" xfId="0" applyFont="1">
      <alignment vertical="center"/>
    </xf>
    <xf numFmtId="0" fontId="4" fillId="0" borderId="0" xfId="0" applyFont="1" applyAlignment="1">
      <alignment horizontal="center" vertical="center" shrinkToFit="1"/>
    </xf>
    <xf numFmtId="0" fontId="4" fillId="3" borderId="6" xfId="0" applyFont="1" applyFill="1" applyBorder="1">
      <alignment vertical="center"/>
    </xf>
    <xf numFmtId="0" fontId="4" fillId="3" borderId="8" xfId="0" applyFont="1" applyFill="1" applyBorder="1">
      <alignment vertical="center"/>
    </xf>
    <xf numFmtId="0" fontId="4" fillId="4" borderId="9" xfId="0" applyFont="1" applyFill="1" applyBorder="1">
      <alignment vertical="center"/>
    </xf>
    <xf numFmtId="0" fontId="4" fillId="4" borderId="11" xfId="0" applyFont="1" applyFill="1" applyBorder="1">
      <alignment vertical="center"/>
    </xf>
    <xf numFmtId="38" fontId="4" fillId="0" borderId="13" xfId="1" applyFont="1" applyFill="1" applyBorder="1" applyAlignment="1">
      <alignment horizontal="center" vertical="center" shrinkToFit="1"/>
    </xf>
    <xf numFmtId="38" fontId="4" fillId="5" borderId="14" xfId="1" applyFont="1" applyFill="1" applyBorder="1" applyAlignment="1">
      <alignment horizontal="center" vertical="top" shrinkToFit="1"/>
    </xf>
    <xf numFmtId="9" fontId="4" fillId="5" borderId="14" xfId="2" applyFont="1" applyFill="1" applyBorder="1" applyAlignment="1">
      <alignment horizontal="center" vertical="center" shrinkToFit="1"/>
    </xf>
    <xf numFmtId="3" fontId="4" fillId="5" borderId="15" xfId="1" applyNumberFormat="1" applyFont="1" applyFill="1" applyBorder="1" applyAlignment="1">
      <alignment horizontal="right" vertical="center" shrinkToFit="1"/>
    </xf>
    <xf numFmtId="38" fontId="4" fillId="0" borderId="0" xfId="1" applyFont="1" applyFill="1" applyAlignment="1">
      <alignment vertical="center" shrinkToFit="1"/>
    </xf>
    <xf numFmtId="0" fontId="4" fillId="0" borderId="16" xfId="0" applyFont="1" applyBorder="1">
      <alignment vertical="center"/>
    </xf>
    <xf numFmtId="0" fontId="4" fillId="5" borderId="0" xfId="0" applyFont="1" applyFill="1" applyAlignment="1">
      <alignment vertical="center" shrinkToFit="1"/>
    </xf>
    <xf numFmtId="0" fontId="4" fillId="0" borderId="0" xfId="0" applyFont="1" applyAlignment="1">
      <alignment vertical="center" shrinkToFit="1"/>
    </xf>
    <xf numFmtId="0" fontId="4" fillId="0" borderId="17" xfId="0" applyFont="1" applyBorder="1">
      <alignment vertical="center"/>
    </xf>
    <xf numFmtId="0" fontId="4" fillId="0" borderId="18" xfId="0" applyFont="1" applyBorder="1">
      <alignment vertical="center"/>
    </xf>
    <xf numFmtId="0" fontId="4" fillId="0" borderId="19" xfId="0" applyFont="1" applyBorder="1">
      <alignment vertical="center"/>
    </xf>
    <xf numFmtId="38" fontId="4" fillId="5" borderId="20" xfId="1" applyFont="1" applyFill="1" applyBorder="1" applyAlignment="1">
      <alignment horizontal="center" vertical="center" shrinkToFit="1"/>
    </xf>
    <xf numFmtId="38" fontId="4" fillId="5" borderId="21" xfId="1" applyFont="1" applyFill="1" applyBorder="1" applyAlignment="1">
      <alignment horizontal="center" vertical="top" shrinkToFit="1"/>
    </xf>
    <xf numFmtId="9" fontId="4" fillId="5" borderId="21" xfId="2" applyFont="1" applyFill="1" applyBorder="1" applyAlignment="1">
      <alignment horizontal="center" vertical="top" shrinkToFit="1"/>
    </xf>
    <xf numFmtId="3" fontId="4" fillId="5" borderId="22" xfId="1" applyNumberFormat="1" applyFont="1" applyFill="1" applyBorder="1" applyAlignment="1">
      <alignment horizontal="right" vertical="center" shrinkToFit="1"/>
    </xf>
    <xf numFmtId="177" fontId="4" fillId="0" borderId="17" xfId="1" applyNumberFormat="1" applyFont="1" applyBorder="1">
      <alignment vertical="center"/>
    </xf>
    <xf numFmtId="177" fontId="4" fillId="0" borderId="0" xfId="1" applyNumberFormat="1" applyFont="1" applyBorder="1">
      <alignment vertical="center"/>
    </xf>
    <xf numFmtId="177" fontId="4" fillId="0" borderId="18" xfId="1" applyNumberFormat="1" applyFont="1" applyBorder="1">
      <alignment vertical="center"/>
    </xf>
    <xf numFmtId="178" fontId="4" fillId="5" borderId="23" xfId="1" applyNumberFormat="1" applyFont="1" applyFill="1" applyBorder="1" applyAlignment="1">
      <alignment vertical="center" shrinkToFit="1"/>
    </xf>
    <xf numFmtId="178" fontId="4" fillId="5" borderId="24" xfId="1" applyNumberFormat="1" applyFont="1" applyFill="1" applyBorder="1" applyAlignment="1">
      <alignment vertical="center" shrinkToFit="1"/>
    </xf>
    <xf numFmtId="177" fontId="4" fillId="5" borderId="25" xfId="1" applyNumberFormat="1" applyFont="1" applyFill="1" applyBorder="1" applyAlignment="1">
      <alignment vertical="center" shrinkToFit="1"/>
    </xf>
    <xf numFmtId="38" fontId="4" fillId="0" borderId="17" xfId="1" applyFont="1" applyBorder="1">
      <alignment vertical="center"/>
    </xf>
    <xf numFmtId="38" fontId="4" fillId="0" borderId="0" xfId="1" applyFont="1" applyBorder="1">
      <alignment vertical="center"/>
    </xf>
    <xf numFmtId="38" fontId="4" fillId="0" borderId="18" xfId="1" applyFont="1" applyBorder="1">
      <alignment vertical="center"/>
    </xf>
    <xf numFmtId="38" fontId="4" fillId="5" borderId="20" xfId="1" applyFont="1" applyFill="1" applyBorder="1" applyAlignment="1">
      <alignment horizontal="center" vertical="top" shrinkToFit="1"/>
    </xf>
    <xf numFmtId="38" fontId="4" fillId="5" borderId="26" xfId="1" applyFont="1" applyFill="1" applyBorder="1" applyAlignment="1">
      <alignment vertical="center" shrinkToFit="1"/>
    </xf>
    <xf numFmtId="38" fontId="4" fillId="5" borderId="27" xfId="1" applyFont="1" applyFill="1" applyBorder="1" applyAlignment="1">
      <alignment vertical="center" shrinkToFit="1"/>
    </xf>
    <xf numFmtId="38" fontId="4" fillId="5" borderId="28" xfId="1" applyFont="1" applyFill="1" applyBorder="1" applyAlignment="1">
      <alignment vertical="center" shrinkToFit="1"/>
    </xf>
    <xf numFmtId="38" fontId="4" fillId="0" borderId="29" xfId="1" applyFont="1" applyBorder="1">
      <alignment vertical="center"/>
    </xf>
    <xf numFmtId="0" fontId="4" fillId="0" borderId="1" xfId="0" applyFont="1" applyBorder="1" applyAlignment="1">
      <alignment horizontal="center" vertical="center"/>
    </xf>
    <xf numFmtId="38" fontId="4" fillId="0" borderId="30" xfId="1" applyFont="1" applyBorder="1">
      <alignment vertical="center"/>
    </xf>
    <xf numFmtId="38" fontId="4" fillId="5" borderId="23" xfId="1" applyFont="1" applyFill="1" applyBorder="1" applyAlignment="1">
      <alignment horizontal="center" vertical="top" shrinkToFit="1"/>
    </xf>
    <xf numFmtId="38" fontId="4" fillId="5" borderId="24" xfId="1" applyFont="1" applyFill="1" applyBorder="1" applyAlignment="1">
      <alignment vertical="top" shrinkToFit="1"/>
    </xf>
    <xf numFmtId="9" fontId="4" fillId="5" borderId="24" xfId="2" applyFont="1" applyFill="1" applyBorder="1" applyAlignment="1">
      <alignment horizontal="center" vertical="top" shrinkToFit="1"/>
    </xf>
    <xf numFmtId="3" fontId="4" fillId="5" borderId="25" xfId="1" applyNumberFormat="1" applyFont="1" applyFill="1" applyBorder="1" applyAlignment="1">
      <alignment horizontal="right" vertical="top" shrinkToFit="1"/>
    </xf>
    <xf numFmtId="38" fontId="4" fillId="6" borderId="1" xfId="1" applyFont="1" applyFill="1" applyBorder="1" applyAlignment="1">
      <alignment horizontal="center" vertical="center"/>
    </xf>
    <xf numFmtId="38" fontId="4" fillId="4" borderId="1" xfId="1" applyFont="1" applyFill="1" applyBorder="1" applyAlignment="1">
      <alignment horizontal="center" vertical="center"/>
    </xf>
    <xf numFmtId="38" fontId="4" fillId="0" borderId="0" xfId="1" applyFont="1" applyAlignment="1">
      <alignment vertical="center" shrinkToFit="1"/>
    </xf>
    <xf numFmtId="38" fontId="4" fillId="5" borderId="13" xfId="1" applyFont="1" applyFill="1" applyBorder="1">
      <alignment vertical="center"/>
    </xf>
    <xf numFmtId="38" fontId="4" fillId="5" borderId="15" xfId="1" applyFont="1" applyFill="1" applyBorder="1">
      <alignment vertical="center"/>
    </xf>
    <xf numFmtId="38" fontId="4" fillId="5" borderId="31" xfId="1" applyFont="1" applyFill="1" applyBorder="1">
      <alignment vertical="center"/>
    </xf>
    <xf numFmtId="38" fontId="4" fillId="5" borderId="14" xfId="1" applyFont="1" applyFill="1" applyBorder="1">
      <alignment vertical="center"/>
    </xf>
    <xf numFmtId="0" fontId="4" fillId="5" borderId="15" xfId="0" applyFont="1" applyFill="1" applyBorder="1" applyAlignment="1">
      <alignment vertical="center" shrinkToFit="1"/>
    </xf>
    <xf numFmtId="38" fontId="4" fillId="5" borderId="14" xfId="1" applyFont="1" applyFill="1" applyBorder="1" applyAlignment="1">
      <alignment vertical="center" shrinkToFit="1"/>
    </xf>
    <xf numFmtId="38" fontId="4" fillId="5" borderId="15" xfId="1" applyFont="1" applyFill="1" applyBorder="1" applyAlignment="1">
      <alignment vertical="center" shrinkToFit="1"/>
    </xf>
    <xf numFmtId="38" fontId="4" fillId="6" borderId="1" xfId="1" applyFont="1" applyFill="1" applyBorder="1">
      <alignment vertical="center"/>
    </xf>
    <xf numFmtId="38" fontId="4" fillId="4" borderId="1" xfId="1" applyFont="1" applyFill="1" applyBorder="1">
      <alignment vertical="center"/>
    </xf>
    <xf numFmtId="38" fontId="4" fillId="5" borderId="20" xfId="1" applyFont="1" applyFill="1" applyBorder="1">
      <alignment vertical="center"/>
    </xf>
    <xf numFmtId="38" fontId="4" fillId="5" borderId="22" xfId="1" applyFont="1" applyFill="1" applyBorder="1">
      <alignment vertical="center"/>
    </xf>
    <xf numFmtId="38" fontId="4" fillId="5" borderId="32" xfId="1" applyFont="1" applyFill="1" applyBorder="1">
      <alignment vertical="center"/>
    </xf>
    <xf numFmtId="38" fontId="4" fillId="5" borderId="21" xfId="1" applyFont="1" applyFill="1" applyBorder="1">
      <alignment vertical="center"/>
    </xf>
    <xf numFmtId="0" fontId="4" fillId="5" borderId="22" xfId="0" applyFont="1" applyFill="1" applyBorder="1" applyAlignment="1">
      <alignment vertical="center" shrinkToFit="1"/>
    </xf>
    <xf numFmtId="38" fontId="4" fillId="5" borderId="21" xfId="1" applyFont="1" applyFill="1" applyBorder="1" applyAlignment="1">
      <alignment vertical="center" shrinkToFit="1"/>
    </xf>
    <xf numFmtId="38" fontId="4" fillId="5" borderId="22" xfId="1" applyFont="1" applyFill="1" applyBorder="1" applyAlignment="1">
      <alignment vertical="center" shrinkToFit="1"/>
    </xf>
    <xf numFmtId="0" fontId="4" fillId="0" borderId="1" xfId="0" applyFont="1" applyBorder="1">
      <alignment vertical="center"/>
    </xf>
    <xf numFmtId="38" fontId="4" fillId="5" borderId="32" xfId="0" applyNumberFormat="1" applyFont="1" applyFill="1" applyBorder="1">
      <alignment vertical="center"/>
    </xf>
    <xf numFmtId="38" fontId="4" fillId="5" borderId="21" xfId="0" applyNumberFormat="1" applyFont="1" applyFill="1" applyBorder="1">
      <alignment vertical="center"/>
    </xf>
    <xf numFmtId="38" fontId="4" fillId="0" borderId="36" xfId="1" applyFont="1" applyBorder="1" applyAlignment="1">
      <alignment vertical="center" shrinkToFit="1"/>
    </xf>
    <xf numFmtId="38" fontId="4" fillId="0" borderId="37" xfId="1" applyFont="1" applyBorder="1" applyAlignment="1">
      <alignment vertical="center" shrinkToFit="1"/>
    </xf>
    <xf numFmtId="0" fontId="4" fillId="0" borderId="38" xfId="0" applyFont="1" applyBorder="1" applyAlignment="1">
      <alignment vertical="center" shrinkToFit="1"/>
    </xf>
    <xf numFmtId="38" fontId="4" fillId="0" borderId="39" xfId="1" applyFont="1" applyBorder="1" applyAlignment="1">
      <alignment vertical="center" shrinkToFit="1"/>
    </xf>
    <xf numFmtId="38" fontId="4" fillId="0" borderId="40" xfId="0" applyNumberFormat="1" applyFont="1" applyBorder="1" applyAlignment="1">
      <alignment horizontal="centerContinuous" vertical="center"/>
    </xf>
    <xf numFmtId="38" fontId="4" fillId="0" borderId="4" xfId="1" applyFont="1" applyBorder="1" applyAlignment="1">
      <alignment horizontal="centerContinuous" vertical="center"/>
    </xf>
    <xf numFmtId="38" fontId="4" fillId="0" borderId="41" xfId="1" applyFont="1" applyBorder="1" applyAlignment="1">
      <alignment vertical="center" shrinkToFit="1"/>
    </xf>
    <xf numFmtId="38" fontId="4" fillId="0" borderId="20" xfId="1" applyFont="1" applyBorder="1">
      <alignment vertical="center"/>
    </xf>
    <xf numFmtId="38" fontId="4" fillId="0" borderId="22" xfId="1" applyFont="1" applyBorder="1">
      <alignment vertical="center"/>
    </xf>
    <xf numFmtId="38" fontId="4" fillId="0" borderId="0" xfId="1" applyFont="1">
      <alignment vertical="center"/>
    </xf>
    <xf numFmtId="38" fontId="4" fillId="0" borderId="21" xfId="1" applyFont="1" applyBorder="1">
      <alignment vertical="center"/>
    </xf>
    <xf numFmtId="0" fontId="4" fillId="0" borderId="41" xfId="0" applyFont="1" applyBorder="1" applyAlignment="1">
      <alignment vertical="center" shrinkToFit="1"/>
    </xf>
    <xf numFmtId="38" fontId="4" fillId="0" borderId="20" xfId="1" applyFont="1" applyBorder="1" applyAlignment="1">
      <alignment vertical="center" shrinkToFit="1"/>
    </xf>
    <xf numFmtId="38" fontId="4" fillId="0" borderId="22" xfId="1" applyFont="1" applyBorder="1" applyAlignment="1">
      <alignment vertical="center" shrinkToFit="1"/>
    </xf>
    <xf numFmtId="38" fontId="4" fillId="2" borderId="1" xfId="1" applyFont="1" applyFill="1" applyBorder="1">
      <alignment vertical="center"/>
    </xf>
    <xf numFmtId="38" fontId="4" fillId="5" borderId="23" xfId="1" applyFont="1" applyFill="1" applyBorder="1">
      <alignment vertical="center"/>
    </xf>
    <xf numFmtId="38" fontId="4" fillId="5" borderId="25" xfId="1" applyFont="1" applyFill="1" applyBorder="1">
      <alignment vertical="center"/>
    </xf>
    <xf numFmtId="38" fontId="4" fillId="5" borderId="42" xfId="0" applyNumberFormat="1" applyFont="1" applyFill="1" applyBorder="1">
      <alignment vertical="center"/>
    </xf>
    <xf numFmtId="38" fontId="4" fillId="5" borderId="24" xfId="0" applyNumberFormat="1" applyFont="1" applyFill="1" applyBorder="1">
      <alignment vertical="center"/>
    </xf>
    <xf numFmtId="0" fontId="4" fillId="5" borderId="25" xfId="0" applyFont="1" applyFill="1" applyBorder="1" applyAlignment="1">
      <alignment vertical="center" shrinkToFit="1"/>
    </xf>
    <xf numFmtId="38" fontId="4" fillId="5" borderId="24" xfId="1" applyFont="1" applyFill="1" applyBorder="1" applyAlignment="1">
      <alignment vertical="center" shrinkToFit="1"/>
    </xf>
    <xf numFmtId="38" fontId="4" fillId="5" borderId="25" xfId="1" applyFont="1" applyFill="1" applyBorder="1" applyAlignment="1">
      <alignment vertical="center" shrinkToFit="1"/>
    </xf>
    <xf numFmtId="0" fontId="5" fillId="0" borderId="0" xfId="0" applyFont="1">
      <alignment vertical="center"/>
    </xf>
    <xf numFmtId="9" fontId="4" fillId="5" borderId="1" xfId="0" applyNumberFormat="1" applyFont="1" applyFill="1" applyBorder="1" applyAlignment="1">
      <alignment vertical="center" shrinkToFit="1"/>
    </xf>
    <xf numFmtId="38" fontId="4" fillId="5" borderId="44" xfId="1" applyFont="1" applyFill="1" applyBorder="1">
      <alignment vertical="center"/>
    </xf>
    <xf numFmtId="38" fontId="4" fillId="0" borderId="45" xfId="1" applyFont="1" applyBorder="1" applyAlignment="1">
      <alignment vertical="center" shrinkToFit="1"/>
    </xf>
    <xf numFmtId="38" fontId="4" fillId="0" borderId="23" xfId="1" applyFont="1" applyBorder="1">
      <alignment vertical="center"/>
    </xf>
    <xf numFmtId="38" fontId="4" fillId="0" borderId="25" xfId="1" applyFont="1" applyBorder="1">
      <alignment vertical="center"/>
    </xf>
    <xf numFmtId="38" fontId="4" fillId="5" borderId="41" xfId="1" applyFont="1" applyFill="1" applyBorder="1">
      <alignment vertical="center"/>
    </xf>
    <xf numFmtId="38" fontId="4" fillId="5" borderId="45" xfId="1" applyFont="1" applyFill="1" applyBorder="1">
      <alignment vertical="center"/>
    </xf>
    <xf numFmtId="38" fontId="4" fillId="5" borderId="33" xfId="1" applyFont="1" applyFill="1" applyBorder="1" applyAlignment="1">
      <alignment horizontal="center" vertical="center" shrinkToFit="1"/>
    </xf>
    <xf numFmtId="38" fontId="4" fillId="5" borderId="34" xfId="1" applyFont="1" applyFill="1" applyBorder="1" applyAlignment="1">
      <alignment horizontal="center" vertical="top" shrinkToFit="1"/>
    </xf>
    <xf numFmtId="9" fontId="4" fillId="5" borderId="1" xfId="2" applyFont="1" applyFill="1" applyBorder="1" applyAlignment="1">
      <alignment horizontal="center" vertical="center" shrinkToFit="1"/>
    </xf>
    <xf numFmtId="38" fontId="4" fillId="0" borderId="48" xfId="1" applyFont="1" applyFill="1" applyBorder="1" applyAlignment="1">
      <alignment vertical="center" shrinkToFit="1"/>
    </xf>
    <xf numFmtId="9" fontId="4" fillId="5" borderId="1" xfId="2" applyFont="1" applyFill="1" applyBorder="1" applyAlignment="1">
      <alignment horizontal="center" vertical="top" shrinkToFit="1"/>
    </xf>
    <xf numFmtId="38" fontId="4" fillId="5" borderId="33" xfId="1" applyFont="1" applyFill="1" applyBorder="1" applyAlignment="1">
      <alignment horizontal="center" vertical="top" shrinkToFit="1"/>
    </xf>
    <xf numFmtId="0" fontId="4" fillId="0" borderId="49" xfId="0" applyFont="1" applyBorder="1">
      <alignment vertical="center"/>
    </xf>
    <xf numFmtId="0" fontId="4" fillId="0" borderId="50" xfId="0" applyFont="1" applyBorder="1">
      <alignment vertical="center"/>
    </xf>
    <xf numFmtId="0" fontId="4" fillId="0" borderId="50" xfId="0" applyFont="1" applyBorder="1" applyAlignment="1">
      <alignment vertical="center" shrinkToFit="1"/>
    </xf>
    <xf numFmtId="0" fontId="4" fillId="0" borderId="51" xfId="0" applyFont="1" applyBorder="1">
      <alignment vertical="center"/>
    </xf>
    <xf numFmtId="0" fontId="4" fillId="0" borderId="52" xfId="0" applyFont="1" applyBorder="1">
      <alignment vertical="center"/>
    </xf>
    <xf numFmtId="0" fontId="4" fillId="0" borderId="53" xfId="0" applyFont="1" applyBorder="1" applyAlignment="1">
      <alignment vertical="center" shrinkToFit="1"/>
    </xf>
    <xf numFmtId="0" fontId="4" fillId="0" borderId="53" xfId="0" applyFont="1" applyBorder="1">
      <alignment vertical="center"/>
    </xf>
    <xf numFmtId="0" fontId="4" fillId="0" borderId="54" xfId="0" applyFont="1" applyBorder="1">
      <alignment vertical="center"/>
    </xf>
    <xf numFmtId="38" fontId="4" fillId="5" borderId="34" xfId="1" applyFont="1" applyFill="1" applyBorder="1" applyAlignment="1">
      <alignment vertical="top" shrinkToFit="1"/>
    </xf>
    <xf numFmtId="0" fontId="4" fillId="0" borderId="48" xfId="0" applyFont="1" applyBorder="1" applyAlignment="1">
      <alignment horizontal="center" vertical="center" shrinkToFit="1"/>
    </xf>
    <xf numFmtId="0" fontId="4" fillId="0" borderId="57" xfId="0" applyFont="1" applyBorder="1" applyAlignment="1">
      <alignment horizontal="center" vertical="center" shrinkToFit="1"/>
    </xf>
    <xf numFmtId="38" fontId="4" fillId="0" borderId="57" xfId="1" applyFont="1" applyFill="1" applyBorder="1" applyAlignment="1">
      <alignment vertical="center" shrinkToFit="1"/>
    </xf>
    <xf numFmtId="38" fontId="4" fillId="0" borderId="58" xfId="1" applyFont="1" applyFill="1" applyBorder="1" applyAlignment="1">
      <alignment vertical="center" shrinkToFit="1"/>
    </xf>
    <xf numFmtId="38" fontId="4" fillId="0" borderId="59" xfId="1" applyFont="1" applyFill="1" applyBorder="1" applyAlignment="1">
      <alignment vertical="center" shrinkToFit="1"/>
    </xf>
    <xf numFmtId="0" fontId="4" fillId="0" borderId="2" xfId="0" applyFont="1" applyBorder="1" applyAlignment="1">
      <alignment horizontal="center" vertical="center" shrinkToFit="1"/>
    </xf>
    <xf numFmtId="0" fontId="4" fillId="0" borderId="62"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65" xfId="0" applyFont="1" applyBorder="1" applyAlignment="1">
      <alignment vertical="center" shrinkToFit="1"/>
    </xf>
    <xf numFmtId="38" fontId="4" fillId="0" borderId="71" xfId="0" applyNumberFormat="1" applyFont="1" applyBorder="1" applyAlignment="1">
      <alignment vertical="center" shrinkToFit="1"/>
    </xf>
    <xf numFmtId="38" fontId="4" fillId="0" borderId="74" xfId="0" applyNumberFormat="1" applyFont="1" applyBorder="1" applyAlignment="1">
      <alignment vertical="center" shrinkToFit="1"/>
    </xf>
    <xf numFmtId="9" fontId="4" fillId="0" borderId="71" xfId="2" applyFont="1" applyBorder="1" applyAlignment="1">
      <alignment vertical="center" shrinkToFit="1"/>
    </xf>
    <xf numFmtId="38" fontId="4" fillId="0" borderId="78" xfId="1" applyFont="1" applyBorder="1" applyAlignment="1">
      <alignment vertical="center" shrinkToFit="1"/>
    </xf>
    <xf numFmtId="38" fontId="4" fillId="0" borderId="70" xfId="0" applyNumberFormat="1" applyFont="1" applyBorder="1" applyAlignment="1">
      <alignment vertical="center" shrinkToFit="1"/>
    </xf>
    <xf numFmtId="38" fontId="4" fillId="0" borderId="73" xfId="0" applyNumberFormat="1" applyFont="1" applyBorder="1" applyAlignment="1">
      <alignment vertical="center" shrinkToFit="1"/>
    </xf>
    <xf numFmtId="38" fontId="7" fillId="0" borderId="75" xfId="0" applyNumberFormat="1" applyFont="1" applyBorder="1" applyAlignment="1">
      <alignment vertical="center" shrinkToFit="1"/>
    </xf>
    <xf numFmtId="38" fontId="5" fillId="0" borderId="30" xfId="1" applyFont="1" applyBorder="1" applyAlignment="1">
      <alignment vertical="center" shrinkToFit="1"/>
    </xf>
    <xf numFmtId="38" fontId="8" fillId="0" borderId="74" xfId="0" applyNumberFormat="1" applyFont="1" applyBorder="1" applyAlignment="1">
      <alignment vertical="center" shrinkToFit="1"/>
    </xf>
    <xf numFmtId="0" fontId="8" fillId="0" borderId="0" xfId="0" applyFont="1" applyAlignment="1">
      <alignment vertical="center" shrinkToFit="1"/>
    </xf>
    <xf numFmtId="38" fontId="9" fillId="0" borderId="75" xfId="0" applyNumberFormat="1" applyFont="1" applyBorder="1" applyAlignment="1">
      <alignment vertical="center" shrinkToFit="1"/>
    </xf>
    <xf numFmtId="38" fontId="10" fillId="0" borderId="73" xfId="0" applyNumberFormat="1" applyFont="1" applyBorder="1" applyAlignment="1">
      <alignment vertical="center" shrinkToFit="1"/>
    </xf>
    <xf numFmtId="0" fontId="4" fillId="0" borderId="62" xfId="0" applyFont="1" applyBorder="1" applyAlignment="1">
      <alignment vertical="center" shrinkToFit="1"/>
    </xf>
    <xf numFmtId="38" fontId="10" fillId="0" borderId="73" xfId="1" applyFont="1" applyBorder="1" applyAlignment="1">
      <alignment vertical="center" shrinkToFit="1"/>
    </xf>
    <xf numFmtId="38" fontId="8" fillId="0" borderId="74" xfId="1" applyFont="1" applyBorder="1" applyAlignment="1">
      <alignment vertical="center" shrinkToFit="1"/>
    </xf>
    <xf numFmtId="38" fontId="10" fillId="0" borderId="74" xfId="0" applyNumberFormat="1" applyFont="1" applyBorder="1" applyAlignment="1">
      <alignment vertical="center" shrinkToFit="1"/>
    </xf>
    <xf numFmtId="0" fontId="4" fillId="0" borderId="65" xfId="0" applyFont="1" applyBorder="1">
      <alignment vertical="center"/>
    </xf>
    <xf numFmtId="38" fontId="8" fillId="0" borderId="66" xfId="1" applyFont="1" applyBorder="1" applyAlignment="1">
      <alignment vertical="center" shrinkToFit="1"/>
    </xf>
    <xf numFmtId="38" fontId="8" fillId="0" borderId="64" xfId="1" applyFont="1" applyBorder="1" applyAlignment="1">
      <alignment vertical="center" shrinkToFit="1"/>
    </xf>
    <xf numFmtId="38" fontId="4" fillId="0" borderId="63" xfId="1" applyFont="1" applyBorder="1">
      <alignment vertical="center"/>
    </xf>
    <xf numFmtId="38" fontId="4" fillId="0" borderId="87" xfId="1" applyFont="1" applyBorder="1" applyAlignment="1">
      <alignment vertical="center" shrinkToFit="1"/>
    </xf>
    <xf numFmtId="0" fontId="4" fillId="0" borderId="85" xfId="0" applyFont="1" applyBorder="1" applyAlignment="1">
      <alignment horizontal="center" vertical="center" shrinkToFit="1"/>
    </xf>
    <xf numFmtId="0" fontId="4" fillId="0" borderId="87" xfId="0" applyFont="1" applyBorder="1" applyAlignment="1">
      <alignment horizontal="center" vertical="center" shrinkToFit="1"/>
    </xf>
    <xf numFmtId="0" fontId="4" fillId="0" borderId="82" xfId="0" applyFont="1" applyBorder="1" applyAlignment="1">
      <alignment horizontal="center" vertical="center"/>
    </xf>
    <xf numFmtId="0" fontId="4" fillId="0" borderId="83" xfId="0" applyFont="1" applyBorder="1">
      <alignment vertical="center"/>
    </xf>
    <xf numFmtId="38" fontId="4" fillId="0" borderId="82" xfId="0" applyNumberFormat="1" applyFont="1" applyBorder="1">
      <alignment vertical="center"/>
    </xf>
    <xf numFmtId="38" fontId="4" fillId="0" borderId="84" xfId="0" applyNumberFormat="1" applyFont="1" applyBorder="1">
      <alignment vertical="center"/>
    </xf>
    <xf numFmtId="38" fontId="4" fillId="0" borderId="79" xfId="1" applyFont="1" applyBorder="1">
      <alignment vertical="center"/>
    </xf>
    <xf numFmtId="38" fontId="4" fillId="0" borderId="89" xfId="1" applyFont="1" applyBorder="1">
      <alignment vertical="center"/>
    </xf>
    <xf numFmtId="0" fontId="4" fillId="0" borderId="62" xfId="0" applyFont="1" applyBorder="1">
      <alignment vertical="center"/>
    </xf>
    <xf numFmtId="38" fontId="8" fillId="0" borderId="61" xfId="1" applyFont="1" applyBorder="1" applyAlignment="1">
      <alignment vertical="center" shrinkToFit="1"/>
    </xf>
    <xf numFmtId="38" fontId="8" fillId="0" borderId="63" xfId="1" applyFont="1" applyBorder="1" applyAlignment="1">
      <alignment vertical="center" shrinkToFit="1"/>
    </xf>
    <xf numFmtId="0" fontId="4" fillId="0" borderId="68" xfId="0" applyFont="1" applyBorder="1">
      <alignment vertical="center"/>
    </xf>
    <xf numFmtId="38" fontId="11" fillId="0" borderId="67" xfId="0" applyNumberFormat="1" applyFont="1" applyBorder="1" applyAlignment="1">
      <alignment vertical="center" shrinkToFit="1"/>
    </xf>
    <xf numFmtId="38" fontId="11" fillId="0" borderId="69" xfId="0" applyNumberFormat="1" applyFont="1" applyBorder="1" applyAlignment="1">
      <alignment vertical="center" shrinkToFit="1"/>
    </xf>
    <xf numFmtId="0" fontId="4" fillId="0" borderId="88" xfId="0" applyFont="1" applyBorder="1" applyAlignment="1">
      <alignment horizontal="right" vertical="center" shrinkToFit="1"/>
    </xf>
    <xf numFmtId="38" fontId="8" fillId="0" borderId="70" xfId="1" applyFont="1" applyBorder="1" applyAlignment="1">
      <alignment horizontal="right" vertical="center" shrinkToFit="1"/>
    </xf>
    <xf numFmtId="0" fontId="8" fillId="0" borderId="71" xfId="0" applyFont="1" applyBorder="1" applyAlignment="1">
      <alignment horizontal="right" vertical="center" shrinkToFit="1"/>
    </xf>
    <xf numFmtId="0" fontId="8" fillId="0" borderId="71" xfId="0" applyFont="1" applyBorder="1" applyAlignment="1">
      <alignment horizontal="right" vertical="center"/>
    </xf>
    <xf numFmtId="0" fontId="11" fillId="0" borderId="72" xfId="0" applyFont="1" applyBorder="1" applyAlignment="1">
      <alignment horizontal="right" vertical="center" shrinkToFit="1"/>
    </xf>
    <xf numFmtId="0" fontId="10" fillId="0" borderId="70" xfId="0" applyFont="1" applyBorder="1" applyAlignment="1">
      <alignment horizontal="right" vertical="center" shrinkToFit="1"/>
    </xf>
    <xf numFmtId="0" fontId="10" fillId="0" borderId="71" xfId="0" applyFont="1" applyBorder="1" applyAlignment="1">
      <alignment horizontal="right" vertical="center" shrinkToFit="1"/>
    </xf>
    <xf numFmtId="38" fontId="12" fillId="5" borderId="1" xfId="1" applyFont="1" applyFill="1" applyBorder="1" applyAlignment="1">
      <alignment vertical="center" shrinkToFit="1"/>
    </xf>
    <xf numFmtId="0" fontId="12" fillId="0" borderId="0" xfId="0" applyFont="1">
      <alignment vertical="center"/>
    </xf>
    <xf numFmtId="0" fontId="12" fillId="0" borderId="0" xfId="0" applyFont="1" applyAlignment="1">
      <alignment vertical="center" shrinkToFit="1"/>
    </xf>
    <xf numFmtId="0" fontId="13" fillId="0" borderId="0" xfId="0" applyFont="1" applyAlignment="1">
      <alignment horizontal="center" vertical="center" shrinkToFit="1"/>
    </xf>
    <xf numFmtId="0" fontId="4" fillId="0" borderId="1" xfId="0" applyFont="1" applyBorder="1" applyAlignment="1">
      <alignment horizontal="center" vertical="center" shrinkToFit="1"/>
    </xf>
    <xf numFmtId="38" fontId="4" fillId="0" borderId="74" xfId="1" applyFont="1" applyFill="1" applyBorder="1" applyAlignment="1">
      <alignment vertical="center" shrinkToFit="1"/>
    </xf>
    <xf numFmtId="38" fontId="4" fillId="0" borderId="75" xfId="1" applyFont="1" applyFill="1" applyBorder="1" applyAlignment="1">
      <alignment vertical="center" shrinkToFit="1"/>
    </xf>
    <xf numFmtId="38" fontId="4" fillId="0" borderId="90" xfId="1" applyFont="1" applyFill="1" applyBorder="1" applyAlignment="1">
      <alignment vertical="center" shrinkToFit="1"/>
    </xf>
    <xf numFmtId="38" fontId="4" fillId="0" borderId="0" xfId="0" applyNumberFormat="1" applyFont="1">
      <alignment vertical="center"/>
    </xf>
    <xf numFmtId="38" fontId="4" fillId="5" borderId="0" xfId="1" applyFont="1" applyFill="1">
      <alignment vertical="center"/>
    </xf>
    <xf numFmtId="0" fontId="4" fillId="0" borderId="0" xfId="0" applyFont="1" applyAlignment="1">
      <alignment horizontal="right" vertical="center" shrinkToFit="1"/>
    </xf>
    <xf numFmtId="38" fontId="4" fillId="5" borderId="0" xfId="1" applyFont="1" applyFill="1" applyAlignment="1">
      <alignment horizontal="left" vertical="center" shrinkToFit="1"/>
    </xf>
    <xf numFmtId="0" fontId="15" fillId="2" borderId="0" xfId="0" applyFont="1" applyFill="1">
      <alignment vertical="center"/>
    </xf>
    <xf numFmtId="0" fontId="0" fillId="2" borderId="0" xfId="0" applyFill="1">
      <alignment vertical="center"/>
    </xf>
    <xf numFmtId="0" fontId="14" fillId="2" borderId="0" xfId="0" applyFont="1" applyFill="1" applyAlignment="1" applyProtection="1">
      <alignment horizontal="center" vertical="center"/>
      <protection hidden="1"/>
    </xf>
    <xf numFmtId="0" fontId="17" fillId="0" borderId="73" xfId="0" applyFont="1" applyBorder="1" applyAlignment="1" applyProtection="1">
      <alignment horizontal="center" vertical="center" shrinkToFit="1"/>
      <protection hidden="1"/>
    </xf>
    <xf numFmtId="0" fontId="18" fillId="2" borderId="73" xfId="0" applyFont="1" applyFill="1" applyBorder="1" applyAlignment="1" applyProtection="1">
      <alignment horizontal="center" vertical="center" shrinkToFit="1"/>
      <protection hidden="1"/>
    </xf>
    <xf numFmtId="0" fontId="19" fillId="2" borderId="0" xfId="0" applyFont="1" applyFill="1" applyAlignment="1" applyProtection="1">
      <alignment vertical="center" shrinkToFit="1"/>
      <protection hidden="1"/>
    </xf>
    <xf numFmtId="14" fontId="17" fillId="0" borderId="75" xfId="0" applyNumberFormat="1" applyFont="1" applyBorder="1" applyAlignment="1" applyProtection="1">
      <alignment horizontal="center" vertical="center" shrinkToFit="1"/>
      <protection hidden="1"/>
    </xf>
    <xf numFmtId="0" fontId="20" fillId="0" borderId="75" xfId="0" applyFont="1" applyBorder="1" applyAlignment="1" applyProtection="1">
      <alignment horizontal="center" vertical="center" shrinkToFit="1"/>
      <protection hidden="1"/>
    </xf>
    <xf numFmtId="49" fontId="18" fillId="2" borderId="75" xfId="0" applyNumberFormat="1" applyFont="1" applyFill="1" applyBorder="1" applyAlignment="1" applyProtection="1">
      <alignment horizontal="center" vertical="center" shrinkToFit="1"/>
      <protection hidden="1"/>
    </xf>
    <xf numFmtId="0" fontId="21" fillId="2" borderId="0" xfId="0" applyFont="1" applyFill="1" applyAlignment="1" applyProtection="1">
      <alignment vertical="center" shrinkToFit="1"/>
      <protection hidden="1"/>
    </xf>
    <xf numFmtId="0" fontId="4" fillId="0" borderId="86" xfId="0" applyFont="1" applyBorder="1" applyAlignment="1">
      <alignment vertical="center" shrinkToFit="1"/>
    </xf>
    <xf numFmtId="0" fontId="10" fillId="0" borderId="91" xfId="0" applyFont="1" applyBorder="1" applyAlignment="1">
      <alignment horizontal="right" vertical="center" shrinkToFit="1"/>
    </xf>
    <xf numFmtId="38" fontId="10" fillId="0" borderId="92" xfId="0" applyNumberFormat="1" applyFont="1" applyBorder="1" applyAlignment="1">
      <alignment vertical="center" shrinkToFit="1"/>
    </xf>
    <xf numFmtId="38" fontId="10" fillId="7" borderId="92" xfId="0" applyNumberFormat="1" applyFont="1" applyFill="1" applyBorder="1" applyAlignment="1">
      <alignment vertical="center" shrinkToFit="1"/>
    </xf>
    <xf numFmtId="38" fontId="4" fillId="2" borderId="55" xfId="1" applyFont="1" applyFill="1" applyBorder="1" applyAlignment="1">
      <alignment vertical="center" shrinkToFit="1"/>
    </xf>
    <xf numFmtId="38" fontId="4" fillId="2" borderId="56" xfId="1" applyFont="1" applyFill="1" applyBorder="1" applyAlignment="1">
      <alignment vertical="center" shrinkToFit="1"/>
    </xf>
    <xf numFmtId="38" fontId="4" fillId="2" borderId="48" xfId="1" applyFont="1" applyFill="1" applyBorder="1" applyAlignment="1">
      <alignment vertical="center" shrinkToFit="1"/>
    </xf>
    <xf numFmtId="38" fontId="4" fillId="2" borderId="57" xfId="1" applyFont="1" applyFill="1" applyBorder="1" applyAlignment="1">
      <alignment vertical="center" shrinkToFit="1"/>
    </xf>
    <xf numFmtId="38" fontId="4" fillId="2" borderId="58" xfId="1" applyFont="1" applyFill="1" applyBorder="1" applyAlignment="1">
      <alignment vertical="center" shrinkToFit="1"/>
    </xf>
    <xf numFmtId="38" fontId="4" fillId="2" borderId="59" xfId="1" applyFont="1" applyFill="1" applyBorder="1" applyAlignment="1">
      <alignment vertical="center" shrinkToFit="1"/>
    </xf>
    <xf numFmtId="0" fontId="4" fillId="0" borderId="67" xfId="0" applyFont="1" applyBorder="1">
      <alignment vertical="center"/>
    </xf>
    <xf numFmtId="0" fontId="4" fillId="0" borderId="69" xfId="0" applyFont="1" applyBorder="1">
      <alignment vertical="center"/>
    </xf>
    <xf numFmtId="0" fontId="4" fillId="0" borderId="93" xfId="0" applyFont="1" applyBorder="1">
      <alignment vertical="center"/>
    </xf>
    <xf numFmtId="0" fontId="4" fillId="0" borderId="94" xfId="0" applyFont="1" applyBorder="1">
      <alignment vertical="center"/>
    </xf>
    <xf numFmtId="38" fontId="4" fillId="7" borderId="32" xfId="1" applyFont="1" applyFill="1" applyBorder="1">
      <alignment vertical="center"/>
    </xf>
    <xf numFmtId="38" fontId="4" fillId="7" borderId="32" xfId="1" applyFont="1" applyFill="1" applyBorder="1" applyAlignment="1">
      <alignment vertical="center" shrinkToFit="1"/>
    </xf>
    <xf numFmtId="38" fontId="4" fillId="7" borderId="22" xfId="1" applyFont="1" applyFill="1" applyBorder="1" applyAlignment="1">
      <alignment vertical="center" shrinkToFit="1"/>
    </xf>
    <xf numFmtId="38" fontId="4" fillId="7" borderId="21" xfId="1" applyFont="1" applyFill="1" applyBorder="1">
      <alignment vertical="center"/>
    </xf>
    <xf numFmtId="38" fontId="4" fillId="7" borderId="22" xfId="1" applyFont="1" applyFill="1" applyBorder="1">
      <alignment vertical="center"/>
    </xf>
    <xf numFmtId="38" fontId="4" fillId="7" borderId="20" xfId="1" applyFont="1" applyFill="1" applyBorder="1">
      <alignment vertical="center"/>
    </xf>
    <xf numFmtId="38" fontId="4" fillId="7" borderId="42" xfId="1" applyFont="1" applyFill="1" applyBorder="1">
      <alignment vertical="center"/>
    </xf>
    <xf numFmtId="38" fontId="4" fillId="7" borderId="25" xfId="1" applyFont="1" applyFill="1" applyBorder="1">
      <alignment vertical="center"/>
    </xf>
    <xf numFmtId="0" fontId="4" fillId="2" borderId="0" xfId="0" applyFont="1" applyFill="1" applyAlignment="1" applyProtection="1">
      <alignment vertical="center" shrinkToFit="1"/>
      <protection hidden="1"/>
    </xf>
    <xf numFmtId="0" fontId="14" fillId="2" borderId="0" xfId="0" applyFont="1" applyFill="1" applyAlignment="1" applyProtection="1">
      <alignment vertical="center" shrinkToFit="1"/>
      <protection hidden="1"/>
    </xf>
    <xf numFmtId="179" fontId="4" fillId="2" borderId="0" xfId="0" applyNumberFormat="1" applyFont="1" applyFill="1" applyAlignment="1" applyProtection="1">
      <alignment vertical="center" shrinkToFit="1"/>
      <protection hidden="1"/>
    </xf>
    <xf numFmtId="0" fontId="4" fillId="2" borderId="0" xfId="0" applyFont="1" applyFill="1" applyAlignment="1" applyProtection="1">
      <alignment horizontal="left" vertical="center" shrinkToFit="1"/>
      <protection hidden="1"/>
    </xf>
    <xf numFmtId="0" fontId="4" fillId="11" borderId="2" xfId="0" applyFont="1" applyFill="1" applyBorder="1">
      <alignment vertical="center"/>
    </xf>
    <xf numFmtId="0" fontId="4" fillId="11" borderId="30" xfId="0" applyFont="1" applyFill="1" applyBorder="1">
      <alignment vertical="center"/>
    </xf>
    <xf numFmtId="179" fontId="4" fillId="2" borderId="30" xfId="0" applyNumberFormat="1" applyFont="1" applyFill="1" applyBorder="1" applyAlignment="1" applyProtection="1">
      <alignment horizontal="right" vertical="center" shrinkToFit="1"/>
      <protection hidden="1"/>
    </xf>
    <xf numFmtId="179" fontId="4" fillId="8" borderId="100" xfId="0" applyNumberFormat="1" applyFont="1" applyFill="1" applyBorder="1" applyAlignment="1" applyProtection="1">
      <alignment vertical="center" shrinkToFit="1"/>
      <protection locked="0"/>
    </xf>
    <xf numFmtId="0" fontId="22" fillId="2" borderId="0" xfId="0" applyFont="1" applyFill="1" applyAlignment="1" applyProtection="1">
      <alignment vertical="center" shrinkToFit="1"/>
      <protection hidden="1"/>
    </xf>
    <xf numFmtId="0" fontId="22" fillId="2" borderId="0" xfId="0" applyFont="1" applyFill="1" applyAlignment="1" applyProtection="1">
      <alignment horizontal="right" vertical="center" shrinkToFit="1"/>
      <protection hidden="1"/>
    </xf>
    <xf numFmtId="0" fontId="22" fillId="2" borderId="0" xfId="0" applyFont="1" applyFill="1" applyAlignment="1" applyProtection="1">
      <alignment horizontal="center" vertical="center" shrinkToFit="1"/>
      <protection hidden="1"/>
    </xf>
    <xf numFmtId="38" fontId="22" fillId="2" borderId="0" xfId="1" applyFont="1" applyFill="1" applyBorder="1" applyAlignment="1" applyProtection="1">
      <alignment vertical="center" shrinkToFit="1"/>
      <protection hidden="1"/>
    </xf>
    <xf numFmtId="0" fontId="5" fillId="2" borderId="0" xfId="0" applyFont="1" applyFill="1" applyAlignment="1" applyProtection="1">
      <alignment vertical="center" shrinkToFit="1"/>
      <protection hidden="1"/>
    </xf>
    <xf numFmtId="10" fontId="5" fillId="2" borderId="0" xfId="2" applyNumberFormat="1" applyFont="1" applyFill="1" applyAlignment="1" applyProtection="1">
      <alignment vertical="center" shrinkToFit="1"/>
      <protection hidden="1"/>
    </xf>
    <xf numFmtId="0" fontId="28" fillId="2" borderId="0" xfId="0" applyFont="1" applyFill="1" applyAlignment="1" applyProtection="1">
      <alignment vertical="center" shrinkToFit="1"/>
      <protection hidden="1"/>
    </xf>
    <xf numFmtId="0" fontId="23" fillId="2" borderId="0" xfId="0" applyFont="1" applyFill="1" applyAlignment="1" applyProtection="1">
      <alignment horizontal="left" vertical="center" shrinkToFit="1"/>
      <protection hidden="1"/>
    </xf>
    <xf numFmtId="0" fontId="29" fillId="2" borderId="0" xfId="0" applyFont="1" applyFill="1">
      <alignment vertical="center"/>
    </xf>
    <xf numFmtId="180" fontId="4" fillId="0" borderId="0" xfId="2" applyNumberFormat="1" applyFont="1" applyAlignment="1">
      <alignment vertical="center" shrinkToFit="1"/>
    </xf>
    <xf numFmtId="180" fontId="4" fillId="0" borderId="0" xfId="0" applyNumberFormat="1" applyFont="1">
      <alignment vertical="center"/>
    </xf>
    <xf numFmtId="0" fontId="11" fillId="2" borderId="0" xfId="0" applyFont="1" applyFill="1" applyAlignment="1" applyProtection="1">
      <alignment vertical="center" wrapText="1"/>
      <protection hidden="1"/>
    </xf>
    <xf numFmtId="0" fontId="26" fillId="2" borderId="0" xfId="0" applyFont="1" applyFill="1" applyAlignment="1" applyProtection="1">
      <alignment horizontal="left" vertical="center" wrapText="1"/>
      <protection hidden="1"/>
    </xf>
    <xf numFmtId="179" fontId="22" fillId="2" borderId="0" xfId="0" applyNumberFormat="1" applyFont="1" applyFill="1" applyAlignment="1" applyProtection="1">
      <alignment horizontal="right" vertical="center" shrinkToFit="1"/>
      <protection hidden="1"/>
    </xf>
    <xf numFmtId="0" fontId="25" fillId="2" borderId="0" xfId="0" applyFont="1" applyFill="1" applyAlignment="1" applyProtection="1">
      <alignment vertical="center" shrinkToFit="1"/>
      <protection hidden="1"/>
    </xf>
    <xf numFmtId="0" fontId="4" fillId="2" borderId="0" xfId="0" applyFont="1" applyFill="1" applyAlignment="1" applyProtection="1">
      <alignment shrinkToFit="1"/>
      <protection hidden="1"/>
    </xf>
    <xf numFmtId="0" fontId="5" fillId="2" borderId="0" xfId="0" applyFont="1" applyFill="1" applyAlignment="1" applyProtection="1">
      <alignment vertical="center" wrapText="1"/>
      <protection hidden="1"/>
    </xf>
    <xf numFmtId="0" fontId="27" fillId="2" borderId="60" xfId="0" applyFont="1" applyFill="1" applyBorder="1" applyAlignment="1" applyProtection="1">
      <alignment vertical="top"/>
      <protection hidden="1"/>
    </xf>
    <xf numFmtId="38" fontId="31" fillId="2" borderId="0" xfId="1" applyFont="1" applyFill="1" applyProtection="1">
      <alignment vertical="center"/>
      <protection hidden="1"/>
    </xf>
    <xf numFmtId="0" fontId="31" fillId="2" borderId="0" xfId="0" applyFont="1" applyFill="1" applyAlignment="1" applyProtection="1">
      <alignment vertical="center" wrapText="1"/>
      <protection hidden="1"/>
    </xf>
    <xf numFmtId="0" fontId="26" fillId="2" borderId="60"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32" fillId="2" borderId="0" xfId="0" applyFont="1" applyFill="1" applyAlignment="1" applyProtection="1">
      <alignment vertical="center" wrapText="1" shrinkToFit="1"/>
      <protection hidden="1"/>
    </xf>
    <xf numFmtId="179" fontId="22" fillId="2" borderId="101" xfId="1" applyNumberFormat="1" applyFont="1" applyFill="1" applyBorder="1" applyAlignment="1" applyProtection="1">
      <alignment horizontal="right" vertical="center" shrinkToFit="1"/>
      <protection locked="0"/>
    </xf>
    <xf numFmtId="179" fontId="22" fillId="2" borderId="101" xfId="0" applyNumberFormat="1" applyFont="1" applyFill="1" applyBorder="1" applyAlignment="1" applyProtection="1">
      <alignment horizontal="right" vertical="center" shrinkToFit="1"/>
      <protection locked="0"/>
    </xf>
    <xf numFmtId="38" fontId="11" fillId="2" borderId="101" xfId="1" applyFont="1" applyFill="1" applyBorder="1" applyAlignment="1" applyProtection="1">
      <alignment horizontal="right" vertical="center" indent="2" shrinkToFit="1"/>
      <protection locked="0"/>
    </xf>
    <xf numFmtId="180" fontId="22" fillId="2" borderId="101" xfId="2" applyNumberFormat="1" applyFont="1" applyFill="1" applyBorder="1" applyAlignment="1" applyProtection="1">
      <alignment vertical="center" shrinkToFit="1"/>
      <protection locked="0"/>
    </xf>
    <xf numFmtId="0" fontId="22" fillId="12" borderId="0" xfId="0" applyFont="1" applyFill="1" applyAlignment="1" applyProtection="1">
      <alignment vertical="center" shrinkToFit="1"/>
      <protection hidden="1"/>
    </xf>
    <xf numFmtId="0" fontId="22" fillId="12" borderId="0" xfId="0" applyFont="1" applyFill="1" applyAlignment="1" applyProtection="1">
      <alignment horizontal="center" vertical="center" shrinkToFit="1"/>
      <protection hidden="1"/>
    </xf>
    <xf numFmtId="0" fontId="24" fillId="12" borderId="0" xfId="0" applyFont="1" applyFill="1" applyAlignment="1" applyProtection="1">
      <alignment vertical="center" shrinkToFit="1"/>
      <protection hidden="1"/>
    </xf>
    <xf numFmtId="0" fontId="4" fillId="12" borderId="0" xfId="0" applyFont="1" applyFill="1" applyAlignment="1" applyProtection="1">
      <alignment vertical="center" shrinkToFit="1"/>
      <protection hidden="1"/>
    </xf>
    <xf numFmtId="0" fontId="22" fillId="12" borderId="3" xfId="0" applyFont="1" applyFill="1" applyBorder="1" applyAlignment="1" applyProtection="1">
      <alignment horizontal="center" vertical="center" shrinkToFit="1"/>
      <protection hidden="1"/>
    </xf>
    <xf numFmtId="0" fontId="24" fillId="12" borderId="1" xfId="0" applyFont="1" applyFill="1" applyBorder="1" applyAlignment="1" applyProtection="1">
      <alignment vertical="center" shrinkToFit="1"/>
      <protection hidden="1"/>
    </xf>
    <xf numFmtId="0" fontId="23" fillId="12" borderId="2" xfId="0" applyFont="1" applyFill="1" applyBorder="1" applyAlignment="1" applyProtection="1">
      <alignment horizontal="center" vertical="center" shrinkToFit="1"/>
      <protection hidden="1"/>
    </xf>
    <xf numFmtId="38" fontId="22" fillId="12" borderId="0" xfId="1" applyFont="1" applyFill="1" applyBorder="1" applyAlignment="1" applyProtection="1">
      <alignment vertical="center" shrinkToFit="1"/>
      <protection hidden="1"/>
    </xf>
    <xf numFmtId="0" fontId="24" fillId="12" borderId="0" xfId="0" applyFont="1" applyFill="1" applyAlignment="1" applyProtection="1">
      <alignment horizontal="center" vertical="center" shrinkToFit="1"/>
      <protection hidden="1"/>
    </xf>
    <xf numFmtId="0" fontId="3" fillId="12" borderId="0" xfId="0" applyFont="1" applyFill="1" applyAlignment="1" applyProtection="1">
      <alignment horizontal="right" vertical="center" shrinkToFit="1"/>
      <protection hidden="1"/>
    </xf>
    <xf numFmtId="0" fontId="24" fillId="12" borderId="0" xfId="0" applyFont="1" applyFill="1" applyAlignment="1" applyProtection="1">
      <alignment horizontal="right" vertical="center" shrinkToFit="1"/>
      <protection hidden="1"/>
    </xf>
    <xf numFmtId="38" fontId="24" fillId="12" borderId="0" xfId="1" applyFont="1" applyFill="1" applyBorder="1" applyAlignment="1" applyProtection="1">
      <alignment vertical="center" shrinkToFit="1"/>
      <protection hidden="1"/>
    </xf>
    <xf numFmtId="179" fontId="22" fillId="12" borderId="1" xfId="0" applyNumberFormat="1" applyFont="1" applyFill="1" applyBorder="1" applyAlignment="1" applyProtection="1">
      <alignment horizontal="right" vertical="center" shrinkToFit="1"/>
      <protection hidden="1"/>
    </xf>
    <xf numFmtId="179" fontId="22" fillId="12" borderId="30" xfId="0" applyNumberFormat="1" applyFont="1" applyFill="1" applyBorder="1" applyAlignment="1" applyProtection="1">
      <alignment horizontal="right" vertical="center" shrinkToFit="1"/>
      <protection hidden="1"/>
    </xf>
    <xf numFmtId="0" fontId="22" fillId="12" borderId="0" xfId="0" applyFont="1" applyFill="1" applyAlignment="1" applyProtection="1">
      <alignment horizontal="left" vertical="center" shrinkToFit="1"/>
      <protection hidden="1"/>
    </xf>
    <xf numFmtId="0" fontId="22" fillId="12" borderId="0" xfId="0" applyFont="1" applyFill="1" applyAlignment="1" applyProtection="1">
      <alignment horizontal="right" vertical="center" shrinkToFit="1"/>
      <protection hidden="1"/>
    </xf>
    <xf numFmtId="0" fontId="22" fillId="13" borderId="0" xfId="0" applyFont="1" applyFill="1" applyAlignment="1" applyProtection="1">
      <alignment vertical="center" shrinkToFit="1"/>
      <protection hidden="1"/>
    </xf>
    <xf numFmtId="0" fontId="22" fillId="13" borderId="0" xfId="0" applyFont="1" applyFill="1" applyAlignment="1" applyProtection="1">
      <alignment horizontal="left" vertical="center" shrinkToFit="1"/>
      <protection hidden="1"/>
    </xf>
    <xf numFmtId="179" fontId="22" fillId="13" borderId="0" xfId="0" applyNumberFormat="1" applyFont="1" applyFill="1" applyAlignment="1" applyProtection="1">
      <alignment horizontal="right" vertical="center" shrinkToFit="1"/>
      <protection hidden="1"/>
    </xf>
    <xf numFmtId="0" fontId="23" fillId="13" borderId="0" xfId="0" applyFont="1" applyFill="1" applyAlignment="1" applyProtection="1">
      <alignment horizontal="left" vertical="center" shrinkToFit="1"/>
      <protection hidden="1"/>
    </xf>
    <xf numFmtId="0" fontId="25" fillId="13" borderId="0" xfId="0" applyFont="1" applyFill="1" applyAlignment="1" applyProtection="1">
      <alignment vertical="center" shrinkToFit="1"/>
      <protection hidden="1"/>
    </xf>
    <xf numFmtId="38" fontId="22" fillId="13" borderId="0" xfId="1" applyFont="1" applyFill="1" applyBorder="1" applyAlignment="1" applyProtection="1">
      <alignment vertical="center" shrinkToFit="1"/>
      <protection hidden="1"/>
    </xf>
    <xf numFmtId="0" fontId="22" fillId="13" borderId="0" xfId="0" applyFont="1" applyFill="1" applyAlignment="1" applyProtection="1">
      <alignment horizontal="right" vertical="center" shrinkToFit="1"/>
      <protection hidden="1"/>
    </xf>
    <xf numFmtId="179" fontId="22" fillId="13" borderId="1" xfId="0" applyNumberFormat="1" applyFont="1" applyFill="1" applyBorder="1" applyAlignment="1" applyProtection="1">
      <alignment horizontal="right" vertical="center" shrinkToFit="1"/>
      <protection hidden="1"/>
    </xf>
    <xf numFmtId="0" fontId="23" fillId="13" borderId="0" xfId="0" applyFont="1" applyFill="1" applyAlignment="1" applyProtection="1">
      <alignment vertical="center" shrinkToFit="1"/>
      <protection hidden="1"/>
    </xf>
    <xf numFmtId="0" fontId="4" fillId="13" borderId="0" xfId="0" applyFont="1" applyFill="1" applyAlignment="1" applyProtection="1">
      <alignment vertical="center" shrinkToFit="1"/>
      <protection hidden="1"/>
    </xf>
    <xf numFmtId="179" fontId="22" fillId="13" borderId="0" xfId="0" applyNumberFormat="1" applyFont="1" applyFill="1" applyAlignment="1" applyProtection="1">
      <alignment vertical="center" shrinkToFit="1"/>
      <protection hidden="1"/>
    </xf>
    <xf numFmtId="0" fontId="22" fillId="13" borderId="62" xfId="0" applyFont="1" applyFill="1" applyBorder="1" applyAlignment="1" applyProtection="1">
      <alignment horizontal="center" vertical="center"/>
      <protection hidden="1"/>
    </xf>
    <xf numFmtId="0" fontId="22" fillId="13" borderId="63" xfId="0" applyFont="1" applyFill="1" applyBorder="1" applyAlignment="1" applyProtection="1">
      <alignment horizontal="center" vertical="center"/>
      <protection hidden="1"/>
    </xf>
    <xf numFmtId="179" fontId="22" fillId="13" borderId="65" xfId="0" applyNumberFormat="1" applyFont="1" applyFill="1" applyBorder="1" applyAlignment="1" applyProtection="1">
      <alignment horizontal="right" vertical="center" shrinkToFit="1"/>
      <protection hidden="1"/>
    </xf>
    <xf numFmtId="179" fontId="22" fillId="13" borderId="66" xfId="0" applyNumberFormat="1" applyFont="1" applyFill="1" applyBorder="1" applyAlignment="1" applyProtection="1">
      <alignment horizontal="right" vertical="center" shrinkToFit="1"/>
      <protection hidden="1"/>
    </xf>
    <xf numFmtId="179" fontId="22" fillId="13" borderId="86" xfId="0" applyNumberFormat="1" applyFont="1" applyFill="1" applyBorder="1" applyAlignment="1" applyProtection="1">
      <alignment vertical="center" shrinkToFit="1"/>
      <protection hidden="1"/>
    </xf>
    <xf numFmtId="179" fontId="22" fillId="13" borderId="87" xfId="0" applyNumberFormat="1" applyFont="1" applyFill="1" applyBorder="1" applyAlignment="1" applyProtection="1">
      <alignment vertical="center" shrinkToFit="1"/>
      <protection hidden="1"/>
    </xf>
    <xf numFmtId="179" fontId="22" fillId="13" borderId="97" xfId="0" applyNumberFormat="1" applyFont="1" applyFill="1" applyBorder="1" applyAlignment="1" applyProtection="1">
      <alignment horizontal="right" vertical="center" shrinkToFit="1"/>
      <protection hidden="1"/>
    </xf>
    <xf numFmtId="179" fontId="22" fillId="13" borderId="98" xfId="0" applyNumberFormat="1" applyFont="1" applyFill="1" applyBorder="1" applyAlignment="1" applyProtection="1">
      <alignment horizontal="right" vertical="center" shrinkToFit="1"/>
      <protection hidden="1"/>
    </xf>
    <xf numFmtId="179" fontId="22" fillId="13" borderId="0" xfId="0" applyNumberFormat="1" applyFont="1" applyFill="1" applyAlignment="1" applyProtection="1">
      <alignment horizontal="right" vertical="center" indent="2" shrinkToFit="1"/>
      <protection hidden="1"/>
    </xf>
    <xf numFmtId="0" fontId="31" fillId="13" borderId="0" xfId="0" applyFont="1" applyFill="1" applyAlignment="1" applyProtection="1">
      <alignment vertical="center" shrinkToFit="1"/>
      <protection hidden="1"/>
    </xf>
    <xf numFmtId="179" fontId="31" fillId="13" borderId="0" xfId="1" applyNumberFormat="1" applyFont="1" applyFill="1" applyBorder="1" applyAlignment="1" applyProtection="1">
      <alignment shrinkToFit="1"/>
      <protection hidden="1"/>
    </xf>
    <xf numFmtId="179" fontId="31" fillId="13" borderId="0" xfId="1" applyNumberFormat="1" applyFont="1" applyFill="1" applyBorder="1" applyAlignment="1" applyProtection="1">
      <alignment vertical="top" shrinkToFit="1"/>
      <protection hidden="1"/>
    </xf>
    <xf numFmtId="179" fontId="31" fillId="13" borderId="0" xfId="1" applyNumberFormat="1" applyFont="1" applyFill="1" applyBorder="1" applyAlignment="1" applyProtection="1">
      <alignment vertical="center" shrinkToFit="1"/>
      <protection hidden="1"/>
    </xf>
    <xf numFmtId="179" fontId="23" fillId="13" borderId="0" xfId="1" applyNumberFormat="1" applyFont="1" applyFill="1" applyAlignment="1" applyProtection="1">
      <alignment horizontal="right" vertical="center" shrinkToFit="1"/>
      <protection hidden="1"/>
    </xf>
    <xf numFmtId="179" fontId="23" fillId="13" borderId="0" xfId="1" applyNumberFormat="1" applyFont="1" applyFill="1" applyBorder="1" applyAlignment="1" applyProtection="1">
      <alignment horizontal="right" vertical="center" shrinkToFit="1"/>
      <protection hidden="1"/>
    </xf>
    <xf numFmtId="0" fontId="23" fillId="13" borderId="0" xfId="0" applyFont="1" applyFill="1" applyAlignment="1" applyProtection="1">
      <alignment horizontal="right" shrinkToFit="1"/>
      <protection hidden="1"/>
    </xf>
    <xf numFmtId="179" fontId="35" fillId="13" borderId="0" xfId="1" applyNumberFormat="1" applyFont="1" applyFill="1" applyAlignment="1" applyProtection="1">
      <alignment horizontal="right" vertical="center" shrinkToFit="1"/>
      <protection hidden="1"/>
    </xf>
    <xf numFmtId="179" fontId="35" fillId="13" borderId="0" xfId="1" applyNumberFormat="1" applyFont="1" applyFill="1" applyBorder="1" applyAlignment="1" applyProtection="1">
      <alignment horizontal="right" vertical="center" shrinkToFit="1"/>
      <protection hidden="1"/>
    </xf>
    <xf numFmtId="179" fontId="30" fillId="2" borderId="101" xfId="1" applyNumberFormat="1" applyFont="1" applyFill="1" applyBorder="1" applyAlignment="1" applyProtection="1">
      <alignment horizontal="right" vertical="center" shrinkToFit="1"/>
      <protection hidden="1"/>
    </xf>
    <xf numFmtId="0" fontId="4" fillId="0" borderId="48" xfId="0" applyFont="1" applyBorder="1" applyAlignment="1">
      <alignment horizontal="left" vertical="center" shrinkToFit="1"/>
    </xf>
    <xf numFmtId="0" fontId="4" fillId="0" borderId="0" xfId="0" applyFont="1" applyAlignment="1">
      <alignment horizontal="left" vertical="center" shrinkToFit="1"/>
    </xf>
    <xf numFmtId="0" fontId="4" fillId="9" borderId="82" xfId="0" applyFont="1" applyFill="1" applyBorder="1" applyAlignment="1">
      <alignment horizontal="center" vertical="center" shrinkToFit="1"/>
    </xf>
    <xf numFmtId="0" fontId="4" fillId="9" borderId="83" xfId="0" applyFont="1" applyFill="1" applyBorder="1" applyAlignment="1">
      <alignment horizontal="center" vertical="center" shrinkToFit="1"/>
    </xf>
    <xf numFmtId="0" fontId="4" fillId="9" borderId="84" xfId="0" applyFont="1" applyFill="1" applyBorder="1" applyAlignment="1">
      <alignment horizontal="center" vertical="center" shrinkToFit="1"/>
    </xf>
    <xf numFmtId="0" fontId="4" fillId="0" borderId="61" xfId="0" applyFont="1" applyBorder="1" applyAlignment="1">
      <alignment horizontal="center" vertical="center" shrinkToFit="1"/>
    </xf>
    <xf numFmtId="0" fontId="4" fillId="0" borderId="62" xfId="0" applyFont="1" applyBorder="1" applyAlignment="1">
      <alignment horizontal="center" vertical="center" shrinkToFit="1"/>
    </xf>
    <xf numFmtId="38" fontId="4" fillId="7" borderId="61" xfId="1" applyFont="1" applyFill="1" applyBorder="1" applyAlignment="1">
      <alignment horizontal="center" vertical="center"/>
    </xf>
    <xf numFmtId="38" fontId="4" fillId="7" borderId="63" xfId="1" applyFont="1" applyFill="1" applyBorder="1" applyAlignment="1">
      <alignment horizontal="center" vertical="center"/>
    </xf>
    <xf numFmtId="0" fontId="5" fillId="0" borderId="79"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38" fontId="4" fillId="0" borderId="85" xfId="1" applyFont="1" applyBorder="1" applyAlignment="1">
      <alignment horizontal="center" vertical="center"/>
    </xf>
    <xf numFmtId="38" fontId="4" fillId="0" borderId="86" xfId="1"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61" xfId="0" applyFont="1" applyBorder="1" applyAlignment="1">
      <alignment horizontal="center" vertical="center"/>
    </xf>
    <xf numFmtId="0" fontId="4" fillId="0" borderId="64" xfId="0" applyFont="1" applyBorder="1" applyAlignment="1">
      <alignment horizontal="center" vertical="center"/>
    </xf>
    <xf numFmtId="0" fontId="4" fillId="0" borderId="67" xfId="0" applyFont="1" applyBorder="1" applyAlignment="1">
      <alignment horizontal="center" vertical="center"/>
    </xf>
    <xf numFmtId="0" fontId="4" fillId="0" borderId="76" xfId="0" applyFont="1" applyBorder="1" applyAlignment="1">
      <alignment horizontal="center" vertical="center" shrinkToFit="1"/>
    </xf>
    <xf numFmtId="0" fontId="4" fillId="0" borderId="77" xfId="0" applyFont="1" applyBorder="1" applyAlignment="1">
      <alignment horizontal="center" vertical="center" shrinkToFit="1"/>
    </xf>
    <xf numFmtId="0" fontId="4" fillId="7" borderId="55" xfId="0" applyFont="1" applyFill="1" applyBorder="1" applyAlignment="1">
      <alignment horizontal="center" vertical="center" shrinkToFit="1"/>
    </xf>
    <xf numFmtId="0" fontId="4" fillId="7" borderId="60" xfId="0" applyFont="1" applyFill="1" applyBorder="1" applyAlignment="1">
      <alignment horizontal="center" vertical="center" shrinkToFit="1"/>
    </xf>
    <xf numFmtId="0" fontId="4" fillId="7" borderId="56" xfId="0" applyFont="1" applyFill="1" applyBorder="1" applyAlignment="1">
      <alignment horizontal="center" vertical="center" shrinkToFit="1"/>
    </xf>
    <xf numFmtId="0" fontId="9" fillId="0" borderId="68" xfId="0" applyFont="1" applyBorder="1" applyAlignment="1">
      <alignment horizontal="right" vertical="center" shrinkToFit="1"/>
    </xf>
    <xf numFmtId="0" fontId="9" fillId="0" borderId="72" xfId="0" applyFont="1" applyBorder="1" applyAlignment="1">
      <alignment horizontal="right" vertical="center" shrinkToFit="1"/>
    </xf>
    <xf numFmtId="0" fontId="4" fillId="0" borderId="72" xfId="0" applyFont="1" applyBorder="1" applyAlignment="1">
      <alignment horizontal="center" vertical="center" shrinkToFit="1"/>
    </xf>
    <xf numFmtId="0" fontId="4" fillId="0" borderId="95" xfId="0" applyFont="1" applyBorder="1" applyAlignment="1">
      <alignment horizontal="center" vertical="center" shrinkToFit="1"/>
    </xf>
    <xf numFmtId="0" fontId="4" fillId="0" borderId="64" xfId="0" applyFont="1" applyBorder="1" applyAlignment="1">
      <alignment horizontal="center" vertical="center" shrinkToFit="1"/>
    </xf>
    <xf numFmtId="0" fontId="4" fillId="0" borderId="67" xfId="0" applyFont="1" applyBorder="1" applyAlignment="1">
      <alignment horizontal="center" vertical="center" shrinkToFit="1"/>
    </xf>
    <xf numFmtId="0" fontId="4" fillId="0" borderId="85" xfId="0" applyFont="1" applyBorder="1" applyAlignment="1">
      <alignment horizontal="center" vertical="center" shrinkToFit="1"/>
    </xf>
    <xf numFmtId="0" fontId="12" fillId="0" borderId="48" xfId="0" applyFont="1" applyBorder="1" applyAlignment="1">
      <alignment horizontal="left" vertical="center" shrinkToFit="1"/>
    </xf>
    <xf numFmtId="0" fontId="12" fillId="0" borderId="0" xfId="0" applyFont="1" applyAlignment="1">
      <alignment horizontal="left" vertical="center" shrinkToFit="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30" xfId="0" applyFont="1" applyBorder="1" applyAlignment="1">
      <alignment horizontal="center" vertical="center"/>
    </xf>
    <xf numFmtId="0" fontId="4" fillId="0" borderId="43"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47" xfId="0" applyFont="1" applyBorder="1" applyAlignment="1">
      <alignment horizontal="center" vertical="center"/>
    </xf>
    <xf numFmtId="0" fontId="4" fillId="0" borderId="42" xfId="0" applyFont="1" applyBorder="1" applyAlignment="1">
      <alignment horizontal="center" vertical="center"/>
    </xf>
    <xf numFmtId="0" fontId="4" fillId="0" borderId="5" xfId="0" applyFont="1" applyBorder="1" applyAlignment="1">
      <alignment horizontal="left" vertical="center" shrinkToFit="1"/>
    </xf>
    <xf numFmtId="176" fontId="4" fillId="0" borderId="0" xfId="0" applyNumberFormat="1" applyFont="1" applyAlignment="1">
      <alignment horizontal="center" vertical="center" shrinkToFit="1"/>
    </xf>
    <xf numFmtId="0" fontId="4" fillId="10" borderId="82" xfId="0" applyFont="1" applyFill="1" applyBorder="1" applyAlignment="1">
      <alignment horizontal="center" vertical="center"/>
    </xf>
    <xf numFmtId="0" fontId="4" fillId="10" borderId="84" xfId="0" applyFont="1" applyFill="1" applyBorder="1" applyAlignment="1">
      <alignment horizontal="center" vertical="center"/>
    </xf>
    <xf numFmtId="176" fontId="4" fillId="0" borderId="5" xfId="0" applyNumberFormat="1" applyFont="1" applyBorder="1" applyAlignment="1">
      <alignment horizontal="center" vertical="center" shrinkToFit="1"/>
    </xf>
    <xf numFmtId="0" fontId="4" fillId="3" borderId="7" xfId="0" applyFont="1" applyFill="1" applyBorder="1" applyAlignment="1">
      <alignment horizontal="center" vertical="center"/>
    </xf>
    <xf numFmtId="0" fontId="4" fillId="4" borderId="10" xfId="0" applyFont="1" applyFill="1" applyBorder="1" applyAlignment="1">
      <alignment horizontal="center" vertical="center" shrinkToFit="1"/>
    </xf>
    <xf numFmtId="0" fontId="4" fillId="0" borderId="0" xfId="0" applyFont="1" applyAlignment="1">
      <alignment horizontal="center" vertical="center"/>
    </xf>
    <xf numFmtId="0" fontId="4" fillId="5" borderId="13" xfId="0" applyFont="1" applyFill="1" applyBorder="1" applyAlignment="1">
      <alignment horizontal="center" vertical="center" shrinkToFit="1"/>
    </xf>
    <xf numFmtId="0" fontId="4" fillId="5" borderId="14" xfId="0" applyFont="1" applyFill="1" applyBorder="1" applyAlignment="1">
      <alignment horizontal="center" vertical="center" shrinkToFit="1"/>
    </xf>
    <xf numFmtId="0" fontId="4" fillId="5" borderId="15" xfId="0" applyFont="1" applyFill="1" applyBorder="1" applyAlignment="1">
      <alignment horizontal="center" vertical="center" shrinkToFit="1"/>
    </xf>
    <xf numFmtId="0" fontId="4" fillId="0" borderId="35" xfId="0" applyFont="1" applyBorder="1" applyAlignment="1">
      <alignment horizontal="center" vertical="center"/>
    </xf>
    <xf numFmtId="0" fontId="4" fillId="0" borderId="34"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2" borderId="55" xfId="0" applyFont="1" applyFill="1" applyBorder="1" applyAlignment="1" applyProtection="1">
      <alignment horizontal="left" vertical="center" wrapText="1" indent="1" shrinkToFit="1"/>
      <protection hidden="1"/>
    </xf>
    <xf numFmtId="0" fontId="33" fillId="2" borderId="60" xfId="0" applyFont="1" applyFill="1" applyBorder="1" applyAlignment="1" applyProtection="1">
      <alignment horizontal="left" vertical="center" wrapText="1" indent="1" shrinkToFit="1"/>
      <protection hidden="1"/>
    </xf>
    <xf numFmtId="0" fontId="33" fillId="2" borderId="56" xfId="0" applyFont="1" applyFill="1" applyBorder="1" applyAlignment="1" applyProtection="1">
      <alignment horizontal="left" vertical="center" wrapText="1" indent="1" shrinkToFit="1"/>
      <protection hidden="1"/>
    </xf>
    <xf numFmtId="0" fontId="33" fillId="2" borderId="48" xfId="0" applyFont="1" applyFill="1" applyBorder="1" applyAlignment="1" applyProtection="1">
      <alignment horizontal="left" vertical="center" wrapText="1" indent="1" shrinkToFit="1"/>
      <protection hidden="1"/>
    </xf>
    <xf numFmtId="0" fontId="33" fillId="2" borderId="0" xfId="0" applyFont="1" applyFill="1" applyAlignment="1" applyProtection="1">
      <alignment horizontal="left" vertical="center" wrapText="1" indent="1" shrinkToFit="1"/>
      <protection hidden="1"/>
    </xf>
    <xf numFmtId="0" fontId="33" fillId="2" borderId="57" xfId="0" applyFont="1" applyFill="1" applyBorder="1" applyAlignment="1" applyProtection="1">
      <alignment horizontal="left" vertical="center" wrapText="1" indent="1" shrinkToFit="1"/>
      <protection hidden="1"/>
    </xf>
    <xf numFmtId="0" fontId="33" fillId="2" borderId="58" xfId="0" applyFont="1" applyFill="1" applyBorder="1" applyAlignment="1" applyProtection="1">
      <alignment horizontal="left" vertical="center" wrapText="1" indent="1" shrinkToFit="1"/>
      <protection hidden="1"/>
    </xf>
    <xf numFmtId="0" fontId="33" fillId="2" borderId="5" xfId="0" applyFont="1" applyFill="1" applyBorder="1" applyAlignment="1" applyProtection="1">
      <alignment horizontal="left" vertical="center" wrapText="1" indent="1" shrinkToFit="1"/>
      <protection hidden="1"/>
    </xf>
    <xf numFmtId="0" fontId="33" fillId="2" borderId="59" xfId="0" applyFont="1" applyFill="1" applyBorder="1" applyAlignment="1" applyProtection="1">
      <alignment horizontal="left" vertical="center" wrapText="1" indent="1" shrinkToFit="1"/>
      <protection hidden="1"/>
    </xf>
    <xf numFmtId="0" fontId="35" fillId="13" borderId="48" xfId="0" applyFont="1" applyFill="1" applyBorder="1" applyAlignment="1" applyProtection="1">
      <alignment horizontal="right" vertical="center" shrinkToFit="1"/>
      <protection hidden="1"/>
    </xf>
    <xf numFmtId="0" fontId="35" fillId="13" borderId="0" xfId="0" applyFont="1" applyFill="1" applyAlignment="1" applyProtection="1">
      <alignment horizontal="right" vertical="center" shrinkToFit="1"/>
      <protection hidden="1"/>
    </xf>
    <xf numFmtId="0" fontId="4" fillId="2" borderId="48" xfId="0" applyFont="1" applyFill="1" applyBorder="1" applyAlignment="1" applyProtection="1">
      <alignment horizontal="left" vertical="center" shrinkToFit="1"/>
      <protection hidden="1"/>
    </xf>
    <xf numFmtId="0" fontId="4" fillId="2" borderId="0" xfId="0" applyFont="1" applyFill="1" applyAlignment="1" applyProtection="1">
      <alignment horizontal="left" vertical="center" shrinkToFit="1"/>
      <protection hidden="1"/>
    </xf>
    <xf numFmtId="0" fontId="3" fillId="2" borderId="0" xfId="0" applyFont="1" applyFill="1" applyAlignment="1" applyProtection="1">
      <alignment horizontal="right" vertical="center" shrinkToFit="1"/>
      <protection hidden="1"/>
    </xf>
    <xf numFmtId="0" fontId="3" fillId="2" borderId="57" xfId="0" applyFont="1" applyFill="1" applyBorder="1" applyAlignment="1" applyProtection="1">
      <alignment horizontal="right" vertical="center" shrinkToFit="1"/>
      <protection hidden="1"/>
    </xf>
    <xf numFmtId="0" fontId="22" fillId="13" borderId="3" xfId="0" applyFont="1" applyFill="1" applyBorder="1" applyAlignment="1" applyProtection="1">
      <alignment horizontal="center" vertical="center" shrinkToFit="1"/>
      <protection hidden="1"/>
    </xf>
    <xf numFmtId="0" fontId="22" fillId="13" borderId="40" xfId="0" applyFont="1" applyFill="1" applyBorder="1" applyAlignment="1" applyProtection="1">
      <alignment horizontal="center" vertical="center" shrinkToFit="1"/>
      <protection hidden="1"/>
    </xf>
    <xf numFmtId="0" fontId="22" fillId="13" borderId="4" xfId="0" applyFont="1" applyFill="1" applyBorder="1" applyAlignment="1" applyProtection="1">
      <alignment horizontal="center" vertical="center" shrinkToFit="1"/>
      <protection hidden="1"/>
    </xf>
    <xf numFmtId="0" fontId="22" fillId="13" borderId="85" xfId="0" applyFont="1" applyFill="1" applyBorder="1" applyAlignment="1" applyProtection="1">
      <alignment horizontal="right" vertical="center" shrinkToFit="1"/>
      <protection hidden="1"/>
    </xf>
    <xf numFmtId="0" fontId="22" fillId="13" borderId="86" xfId="0" applyFont="1" applyFill="1" applyBorder="1" applyAlignment="1" applyProtection="1">
      <alignment horizontal="right" vertical="center" shrinkToFit="1"/>
      <protection hidden="1"/>
    </xf>
    <xf numFmtId="0" fontId="22" fillId="13" borderId="61" xfId="0" applyFont="1" applyFill="1" applyBorder="1" applyAlignment="1" applyProtection="1">
      <alignment horizontal="center" vertical="center" shrinkToFit="1"/>
      <protection hidden="1"/>
    </xf>
    <xf numFmtId="0" fontId="22" fillId="13" borderId="62" xfId="0" applyFont="1" applyFill="1" applyBorder="1" applyAlignment="1" applyProtection="1">
      <alignment horizontal="center" vertical="center" shrinkToFit="1"/>
      <protection hidden="1"/>
    </xf>
    <xf numFmtId="0" fontId="22" fillId="13" borderId="64" xfId="0" applyFont="1" applyFill="1" applyBorder="1" applyAlignment="1" applyProtection="1">
      <alignment horizontal="right" vertical="center" shrinkToFit="1"/>
      <protection hidden="1"/>
    </xf>
    <xf numFmtId="0" fontId="22" fillId="13" borderId="65" xfId="0" applyFont="1" applyFill="1" applyBorder="1" applyAlignment="1" applyProtection="1">
      <alignment horizontal="right" vertical="center" shrinkToFit="1"/>
      <protection hidden="1"/>
    </xf>
    <xf numFmtId="0" fontId="22" fillId="13" borderId="96" xfId="0" applyFont="1" applyFill="1" applyBorder="1" applyAlignment="1" applyProtection="1">
      <alignment horizontal="right" vertical="center" shrinkToFit="1"/>
      <protection hidden="1"/>
    </xf>
    <xf numFmtId="0" fontId="22" fillId="13" borderId="97" xfId="0" applyFont="1" applyFill="1" applyBorder="1" applyAlignment="1" applyProtection="1">
      <alignment horizontal="right" vertical="center" shrinkToFit="1"/>
      <protection hidden="1"/>
    </xf>
    <xf numFmtId="0" fontId="3" fillId="2" borderId="0" xfId="0" applyFont="1" applyFill="1" applyAlignment="1" applyProtection="1">
      <alignment horizontal="left" vertical="center" shrinkToFit="1"/>
      <protection hidden="1"/>
    </xf>
    <xf numFmtId="0" fontId="5" fillId="13" borderId="99" xfId="0" applyFont="1" applyFill="1" applyBorder="1" applyAlignment="1" applyProtection="1">
      <alignment horizontal="center" vertical="center" shrinkToFit="1"/>
      <protection hidden="1"/>
    </xf>
    <xf numFmtId="0" fontId="24" fillId="12" borderId="0" xfId="0" applyFont="1" applyFill="1" applyAlignment="1" applyProtection="1">
      <alignment horizontal="right" vertical="center" shrinkToFit="1"/>
      <protection hidden="1"/>
    </xf>
    <xf numFmtId="0" fontId="24" fillId="12" borderId="48" xfId="0" applyFont="1" applyFill="1" applyBorder="1" applyAlignment="1" applyProtection="1">
      <alignment horizontal="right" vertical="center" shrinkToFit="1"/>
      <protection hidden="1"/>
    </xf>
    <xf numFmtId="0" fontId="23" fillId="12" borderId="0" xfId="0" applyFont="1" applyFill="1" applyAlignment="1" applyProtection="1">
      <alignment horizontal="center" shrinkToFit="1"/>
      <protection hidden="1"/>
    </xf>
    <xf numFmtId="0" fontId="34" fillId="12" borderId="0" xfId="0" applyFont="1" applyFill="1" applyAlignment="1" applyProtection="1">
      <alignment horizontal="left" vertical="center" shrinkToFit="1"/>
      <protection hidden="1"/>
    </xf>
    <xf numFmtId="0" fontId="24" fillId="12" borderId="0" xfId="0" applyFont="1" applyFill="1" applyAlignment="1" applyProtection="1">
      <alignment horizontal="left" shrinkToFit="1"/>
      <protection hidden="1"/>
    </xf>
    <xf numFmtId="9" fontId="4" fillId="0" borderId="0" xfId="2" applyFont="1" applyAlignment="1">
      <alignment vertical="center" shrinkToFit="1"/>
    </xf>
    <xf numFmtId="9" fontId="4" fillId="0" borderId="0" xfId="2" applyFont="1">
      <alignment vertical="center"/>
    </xf>
    <xf numFmtId="179" fontId="4" fillId="2" borderId="102" xfId="0" applyNumberFormat="1" applyFont="1" applyFill="1" applyBorder="1" applyAlignment="1" applyProtection="1">
      <alignment vertical="center" shrinkToFit="1"/>
      <protection hidden="1"/>
    </xf>
    <xf numFmtId="0" fontId="3" fillId="2" borderId="103" xfId="0" applyFont="1" applyFill="1" applyBorder="1" applyAlignment="1" applyProtection="1">
      <alignment horizontal="right" vertical="center" shrinkToFit="1"/>
      <protection locked="0"/>
    </xf>
    <xf numFmtId="0" fontId="3" fillId="2" borderId="104" xfId="0" applyFont="1" applyFill="1" applyBorder="1" applyAlignment="1" applyProtection="1">
      <alignment horizontal="right" vertical="center" shrinkToFit="1"/>
      <protection locked="0"/>
    </xf>
    <xf numFmtId="0" fontId="31" fillId="2" borderId="0" xfId="0" applyFont="1" applyFill="1" applyAlignment="1" applyProtection="1">
      <alignment vertical="center"/>
      <protection hidden="1"/>
    </xf>
    <xf numFmtId="0" fontId="22" fillId="14" borderId="0" xfId="0" applyFont="1" applyFill="1" applyAlignment="1" applyProtection="1">
      <alignment vertical="center" shrinkToFit="1"/>
      <protection hidden="1"/>
    </xf>
    <xf numFmtId="0" fontId="22" fillId="14" borderId="0" xfId="0" applyFont="1" applyFill="1" applyAlignment="1" applyProtection="1">
      <alignment horizontal="left" vertical="center" shrinkToFit="1"/>
      <protection hidden="1"/>
    </xf>
    <xf numFmtId="179" fontId="22" fillId="14" borderId="0" xfId="0" applyNumberFormat="1" applyFont="1" applyFill="1" applyAlignment="1" applyProtection="1">
      <alignment horizontal="right" vertical="center" shrinkToFit="1"/>
      <protection hidden="1"/>
    </xf>
    <xf numFmtId="0" fontId="23" fillId="14" borderId="0" xfId="0" applyFont="1" applyFill="1" applyAlignment="1" applyProtection="1">
      <alignment horizontal="left" vertical="center" shrinkToFit="1"/>
      <protection hidden="1"/>
    </xf>
    <xf numFmtId="0" fontId="25" fillId="14" borderId="0" xfId="0" applyFont="1" applyFill="1" applyAlignment="1" applyProtection="1">
      <alignment vertical="center" shrinkToFit="1"/>
      <protection hidden="1"/>
    </xf>
    <xf numFmtId="38" fontId="22" fillId="14" borderId="0" xfId="1" applyFont="1" applyFill="1" applyBorder="1" applyAlignment="1" applyProtection="1">
      <alignment vertical="center" shrinkToFit="1"/>
      <protection hidden="1"/>
    </xf>
    <xf numFmtId="0" fontId="22" fillId="14" borderId="0" xfId="0" applyFont="1" applyFill="1" applyAlignment="1" applyProtection="1">
      <alignment horizontal="right" vertical="center" shrinkToFit="1"/>
      <protection hidden="1"/>
    </xf>
    <xf numFmtId="0" fontId="4" fillId="14" borderId="0" xfId="0" applyFont="1" applyFill="1" applyAlignment="1" applyProtection="1">
      <alignment vertical="center" shrinkToFit="1"/>
      <protection hidden="1"/>
    </xf>
    <xf numFmtId="0" fontId="22" fillId="14" borderId="0" xfId="0" applyFont="1" applyFill="1" applyAlignment="1" applyProtection="1">
      <alignment horizontal="center" vertical="center" shrinkToFit="1"/>
      <protection hidden="1"/>
    </xf>
    <xf numFmtId="0" fontId="22" fillId="14" borderId="0" xfId="0" applyFont="1" applyFill="1" applyAlignment="1" applyProtection="1">
      <alignment horizontal="center" vertical="center" shrinkToFit="1"/>
      <protection hidden="1"/>
    </xf>
    <xf numFmtId="180" fontId="22" fillId="14" borderId="0" xfId="2" applyNumberFormat="1" applyFont="1" applyFill="1" applyBorder="1" applyAlignment="1" applyProtection="1">
      <alignment vertical="center" shrinkToFit="1"/>
      <protection hidden="1"/>
    </xf>
    <xf numFmtId="0" fontId="35" fillId="13" borderId="0" xfId="0" applyFont="1" applyFill="1" applyBorder="1" applyAlignment="1" applyProtection="1">
      <alignment horizontal="right" vertical="center" shrinkToFit="1"/>
      <protection hidden="1"/>
    </xf>
    <xf numFmtId="0" fontId="22" fillId="13" borderId="5" xfId="0" applyFont="1" applyFill="1" applyBorder="1" applyAlignment="1" applyProtection="1">
      <alignment vertical="center" shrinkToFit="1"/>
      <protection hidden="1"/>
    </xf>
    <xf numFmtId="0" fontId="36" fillId="14" borderId="0" xfId="0" applyFont="1" applyFill="1" applyAlignment="1" applyProtection="1">
      <alignment horizontal="left" vertical="center" shrinkToFit="1"/>
      <protection hidden="1"/>
    </xf>
    <xf numFmtId="179" fontId="37" fillId="14" borderId="0" xfId="0" applyNumberFormat="1" applyFont="1" applyFill="1" applyAlignment="1" applyProtection="1">
      <alignment horizontal="right" vertical="center" shrinkToFit="1"/>
      <protection hidden="1"/>
    </xf>
  </cellXfs>
  <cellStyles count="3">
    <cellStyle name="パーセント" xfId="2" builtinId="5"/>
    <cellStyle name="桁区切り" xfId="1" builtinId="6"/>
    <cellStyle name="標準" xfId="0" builtinId="0"/>
  </cellStyles>
  <dxfs count="10">
    <dxf>
      <font>
        <color rgb="FFFF0000"/>
      </font>
    </dxf>
    <dxf>
      <font>
        <color rgb="FFFF0000"/>
      </font>
    </dxf>
    <dxf>
      <font>
        <color rgb="FFFF4747"/>
      </font>
    </dxf>
    <dxf>
      <font>
        <b/>
        <i val="0"/>
        <color rgb="FFFF0000"/>
      </font>
    </dxf>
    <dxf>
      <font>
        <color rgb="FFFF4747"/>
      </font>
    </dxf>
    <dxf>
      <font>
        <b/>
        <i val="0"/>
        <color rgb="FFFF0000"/>
      </font>
    </dxf>
    <dxf>
      <font>
        <b val="0"/>
        <i val="0"/>
        <strike val="0"/>
        <color rgb="FFFF0000"/>
      </font>
    </dxf>
    <dxf>
      <font>
        <color theme="0" tint="-0.34998626667073579"/>
      </font>
      <fill>
        <patternFill>
          <bgColor theme="0" tint="-0.14996795556505021"/>
        </patternFill>
      </fill>
    </dxf>
    <dxf>
      <font>
        <color rgb="FF9C0006"/>
      </font>
      <fill>
        <patternFill>
          <bgColor rgb="FFFFC7CE"/>
        </patternFill>
      </fill>
    </dxf>
    <dxf>
      <font>
        <color theme="5"/>
      </font>
      <fill>
        <patternFill>
          <bgColor rgb="FFFFFFCC"/>
        </patternFill>
      </fill>
    </dxf>
  </dxfs>
  <tableStyles count="0" defaultTableStyle="TableStyleMedium2" defaultPivotStyle="PivotStyleLight16"/>
  <colors>
    <mruColors>
      <color rgb="FFEEF5FC"/>
      <color rgb="FFFF4747"/>
      <color rgb="FFF9FFEF"/>
      <color rgb="FFFEF8F4"/>
      <color rgb="FFFDF0E9"/>
      <color rgb="FFE9F2FB"/>
      <color rgb="FFECF9FE"/>
      <color rgb="FFF5EDF9"/>
      <color rgb="FFFCF2E8"/>
      <color rgb="FFE8FA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Scroll" dx="26" fmlaLink="'ふるさと納税最適額計算（非表示）'!$B$32" horiz="1" inc="100" max="30000" page="100" val="0"/>
</file>

<file path=xl/ctrlProps/ctrlProp2.xml><?xml version="1.0" encoding="utf-8"?>
<formControlPr xmlns="http://schemas.microsoft.com/office/spreadsheetml/2009/9/main" objectType="Spin" dx="26" fmlaLink="$C$13" max="10" page="10" val="0"/>
</file>

<file path=xl/ctrlProps/ctrlProp3.xml><?xml version="1.0" encoding="utf-8"?>
<formControlPr xmlns="http://schemas.microsoft.com/office/spreadsheetml/2009/9/main" objectType="Spin" dx="26" max="30000" page="10" val="2"/>
</file>

<file path=xl/ctrlProps/ctrlProp4.xml><?xml version="1.0" encoding="utf-8"?>
<formControlPr xmlns="http://schemas.microsoft.com/office/spreadsheetml/2009/9/main" objectType="Spin" dx="26" max="30000" page="10" val="2"/>
</file>

<file path=xl/ctrlProps/ctrlProp5.xml><?xml version="1.0" encoding="utf-8"?>
<formControlPr xmlns="http://schemas.microsoft.com/office/spreadsheetml/2009/9/main" objectType="Spin" dx="26" fmlaLink="$C$14" max="10" page="10" val="0"/>
</file>

<file path=xl/ctrlProps/ctrlProp6.xml><?xml version="1.0" encoding="utf-8"?>
<formControlPr xmlns="http://schemas.microsoft.com/office/spreadsheetml/2009/9/main" objectType="Spin" dx="26" fmlaLink="$C$15" max="10" page="10" val="0"/>
</file>

<file path=xl/ctrlProps/ctrlProp7.xml><?xml version="1.0" encoding="utf-8"?>
<formControlPr xmlns="http://schemas.microsoft.com/office/spreadsheetml/2009/9/main" objectType="Spin" dx="26" fmlaLink="$C$14" max="10" page="10" val="0"/>
</file>

<file path=xl/ctrlProps/ctrlProp8.xml><?xml version="1.0" encoding="utf-8"?>
<formControlPr xmlns="http://schemas.microsoft.com/office/spreadsheetml/2009/9/main" objectType="Spin" dx="26" fmlaLink="$C$15" max="10" page="10" val="0"/>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22860</xdr:colOff>
      <xdr:row>23</xdr:row>
      <xdr:rowOff>0</xdr:rowOff>
    </xdr:from>
    <xdr:to>
      <xdr:col>18</xdr:col>
      <xdr:colOff>99060</xdr:colOff>
      <xdr:row>25</xdr:row>
      <xdr:rowOff>152400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826514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23</xdr:row>
      <xdr:rowOff>0</xdr:rowOff>
    </xdr:from>
    <xdr:to>
      <xdr:col>25</xdr:col>
      <xdr:colOff>76200</xdr:colOff>
      <xdr:row>25</xdr:row>
      <xdr:rowOff>152400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2382012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22860</xdr:colOff>
      <xdr:row>23</xdr:row>
      <xdr:rowOff>0</xdr:rowOff>
    </xdr:from>
    <xdr:to>
      <xdr:col>25</xdr:col>
      <xdr:colOff>99060</xdr:colOff>
      <xdr:row>25</xdr:row>
      <xdr:rowOff>152400</xdr:rowOff>
    </xdr:to>
    <xdr:sp macro="" textlink="">
      <xdr:nvSpPr>
        <xdr:cNvPr id="4" name="右中かっこ 3">
          <a:extLst>
            <a:ext uri="{FF2B5EF4-FFF2-40B4-BE49-F238E27FC236}">
              <a16:creationId xmlns:a16="http://schemas.microsoft.com/office/drawing/2014/main" id="{00000000-0008-0000-0000-000004000000}"/>
            </a:ext>
          </a:extLst>
        </xdr:cNvPr>
        <xdr:cNvSpPr/>
      </xdr:nvSpPr>
      <xdr:spPr>
        <a:xfrm>
          <a:off x="18265140" y="4191000"/>
          <a:ext cx="76200" cy="533400"/>
        </a:xfrm>
        <a:prstGeom prst="rightBrace">
          <a:avLst/>
        </a:prstGeom>
        <a:ln w="9525">
          <a:solidFill>
            <a:schemeClr val="bg2">
              <a:lumMod val="50000"/>
            </a:schemeClr>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26</xdr:row>
          <xdr:rowOff>7620</xdr:rowOff>
        </xdr:from>
        <xdr:to>
          <xdr:col>5</xdr:col>
          <xdr:colOff>7620</xdr:colOff>
          <xdr:row>26</xdr:row>
          <xdr:rowOff>243840</xdr:rowOff>
        </xdr:to>
        <xdr:sp macro="" textlink="">
          <xdr:nvSpPr>
            <xdr:cNvPr id="6157" name="Scroll Bar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121310</xdr:colOff>
      <xdr:row>26</xdr:row>
      <xdr:rowOff>206428</xdr:rowOff>
    </xdr:from>
    <xdr:to>
      <xdr:col>1</xdr:col>
      <xdr:colOff>414387</xdr:colOff>
      <xdr:row>27</xdr:row>
      <xdr:rowOff>193402</xdr:rowOff>
    </xdr:to>
    <xdr:sp macro="" textlink="">
      <xdr:nvSpPr>
        <xdr:cNvPr id="24" name="テキスト ボックス 23">
          <a:extLst>
            <a:ext uri="{FF2B5EF4-FFF2-40B4-BE49-F238E27FC236}">
              <a16:creationId xmlns:a16="http://schemas.microsoft.com/office/drawing/2014/main" id="{F99EF3E7-CB36-B723-81D7-AE4DD85B9A57}"/>
            </a:ext>
          </a:extLst>
        </xdr:cNvPr>
        <xdr:cNvSpPr txBox="1"/>
      </xdr:nvSpPr>
      <xdr:spPr>
        <a:xfrm>
          <a:off x="121310" y="7489544"/>
          <a:ext cx="469540" cy="25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kern="1200">
              <a:latin typeface="Meiryo UI" panose="020B0604030504040204" pitchFamily="50" charset="-128"/>
              <a:ea typeface="Meiryo UI" panose="020B0604030504040204" pitchFamily="50" charset="-128"/>
            </a:rPr>
            <a:t>0</a:t>
          </a:r>
          <a:r>
            <a:rPr kumimoji="1" lang="ja-JP" altLang="en-US" sz="800" kern="1200">
              <a:latin typeface="Meiryo UI" panose="020B0604030504040204" pitchFamily="50" charset="-128"/>
              <a:ea typeface="Meiryo UI" panose="020B0604030504040204" pitchFamily="50" charset="-128"/>
            </a:rPr>
            <a:t>万円</a:t>
          </a:r>
        </a:p>
      </xdr:txBody>
    </xdr:sp>
    <xdr:clientData/>
  </xdr:twoCellAnchor>
  <xdr:twoCellAnchor>
    <xdr:from>
      <xdr:col>4</xdr:col>
      <xdr:colOff>528564</xdr:colOff>
      <xdr:row>26</xdr:row>
      <xdr:rowOff>206428</xdr:rowOff>
    </xdr:from>
    <xdr:to>
      <xdr:col>5</xdr:col>
      <xdr:colOff>117233</xdr:colOff>
      <xdr:row>27</xdr:row>
      <xdr:rowOff>193402</xdr:rowOff>
    </xdr:to>
    <xdr:sp macro="" textlink="">
      <xdr:nvSpPr>
        <xdr:cNvPr id="25" name="テキスト ボックス 24">
          <a:extLst>
            <a:ext uri="{FF2B5EF4-FFF2-40B4-BE49-F238E27FC236}">
              <a16:creationId xmlns:a16="http://schemas.microsoft.com/office/drawing/2014/main" id="{FFF19100-8BA9-47F1-A41D-7D11D2056C38}"/>
            </a:ext>
          </a:extLst>
        </xdr:cNvPr>
        <xdr:cNvSpPr txBox="1"/>
      </xdr:nvSpPr>
      <xdr:spPr>
        <a:xfrm>
          <a:off x="3833238" y="7489544"/>
          <a:ext cx="527132" cy="25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kern="1200">
              <a:latin typeface="Meiryo UI" panose="020B0604030504040204" pitchFamily="50" charset="-128"/>
              <a:ea typeface="Meiryo UI" panose="020B0604030504040204" pitchFamily="50" charset="-128"/>
            </a:rPr>
            <a:t>30</a:t>
          </a:r>
          <a:r>
            <a:rPr kumimoji="1" lang="ja-JP" altLang="en-US" sz="800" kern="1200">
              <a:latin typeface="Meiryo UI" panose="020B0604030504040204" pitchFamily="50" charset="-128"/>
              <a:ea typeface="Meiryo UI" panose="020B0604030504040204" pitchFamily="50" charset="-128"/>
            </a:rPr>
            <a:t>万円</a:t>
          </a:r>
        </a:p>
      </xdr:txBody>
    </xdr:sp>
    <xdr:clientData/>
  </xdr:twoCellAnchor>
  <xdr:twoCellAnchor>
    <xdr:from>
      <xdr:col>1</xdr:col>
      <xdr:colOff>14243</xdr:colOff>
      <xdr:row>25</xdr:row>
      <xdr:rowOff>39064</xdr:rowOff>
    </xdr:from>
    <xdr:to>
      <xdr:col>5</xdr:col>
      <xdr:colOff>7122</xdr:colOff>
      <xdr:row>26</xdr:row>
      <xdr:rowOff>23177</xdr:rowOff>
    </xdr:to>
    <xdr:sp macro="" textlink="">
      <xdr:nvSpPr>
        <xdr:cNvPr id="2" name="テキスト ボックス 1">
          <a:extLst>
            <a:ext uri="{FF2B5EF4-FFF2-40B4-BE49-F238E27FC236}">
              <a16:creationId xmlns:a16="http://schemas.microsoft.com/office/drawing/2014/main" id="{4FF6FAA6-CBA9-448C-B017-BCD528F35C74}"/>
            </a:ext>
          </a:extLst>
        </xdr:cNvPr>
        <xdr:cNvSpPr txBox="1"/>
      </xdr:nvSpPr>
      <xdr:spPr>
        <a:xfrm>
          <a:off x="192280" y="7067980"/>
          <a:ext cx="4059253" cy="247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  スライドバーを動かして</a:t>
          </a:r>
          <a:r>
            <a:rPr kumimoji="1" lang="en-US" altLang="ja-JP" sz="800" kern="12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ふるさと納税額</a:t>
          </a:r>
          <a:r>
            <a:rPr kumimoji="1" lang="en-US" altLang="ja-JP" sz="800" kern="12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kern="1200">
              <a:solidFill>
                <a:schemeClr val="bg1">
                  <a:lumMod val="50000"/>
                </a:schemeClr>
              </a:solidFill>
              <a:latin typeface="Meiryo UI" panose="020B0604030504040204" pitchFamily="50" charset="-128"/>
              <a:ea typeface="Meiryo UI" panose="020B0604030504040204" pitchFamily="50" charset="-128"/>
            </a:rPr>
            <a:t>を増減できます</a:t>
          </a:r>
        </a:p>
      </xdr:txBody>
    </xdr:sp>
    <xdr:clientData/>
  </xdr:twoCellAnchor>
  <mc:AlternateContent xmlns:mc="http://schemas.openxmlformats.org/markup-compatibility/2006">
    <mc:Choice xmlns:a14="http://schemas.microsoft.com/office/drawing/2010/main" Requires="a14">
      <xdr:twoCellAnchor>
        <xdr:from>
          <xdr:col>2</xdr:col>
          <xdr:colOff>822960</xdr:colOff>
          <xdr:row>12</xdr:row>
          <xdr:rowOff>15240</xdr:rowOff>
        </xdr:from>
        <xdr:to>
          <xdr:col>2</xdr:col>
          <xdr:colOff>967740</xdr:colOff>
          <xdr:row>12</xdr:row>
          <xdr:rowOff>251460</xdr:rowOff>
        </xdr:to>
        <xdr:sp macro="" textlink="">
          <xdr:nvSpPr>
            <xdr:cNvPr id="6158" name="Spinner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13</xdr:row>
          <xdr:rowOff>7620</xdr:rowOff>
        </xdr:from>
        <xdr:to>
          <xdr:col>2</xdr:col>
          <xdr:colOff>975360</xdr:colOff>
          <xdr:row>13</xdr:row>
          <xdr:rowOff>259080</xdr:rowOff>
        </xdr:to>
        <xdr:sp macro="" textlink="">
          <xdr:nvSpPr>
            <xdr:cNvPr id="6159" name="Spinner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14</xdr:row>
          <xdr:rowOff>7620</xdr:rowOff>
        </xdr:from>
        <xdr:to>
          <xdr:col>2</xdr:col>
          <xdr:colOff>975360</xdr:colOff>
          <xdr:row>14</xdr:row>
          <xdr:rowOff>259080</xdr:rowOff>
        </xdr:to>
        <xdr:sp macro="" textlink="">
          <xdr:nvSpPr>
            <xdr:cNvPr id="6160" name="Spinner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13</xdr:row>
          <xdr:rowOff>7620</xdr:rowOff>
        </xdr:from>
        <xdr:to>
          <xdr:col>2</xdr:col>
          <xdr:colOff>975360</xdr:colOff>
          <xdr:row>13</xdr:row>
          <xdr:rowOff>259080</xdr:rowOff>
        </xdr:to>
        <xdr:sp macro="" textlink="">
          <xdr:nvSpPr>
            <xdr:cNvPr id="6161" name="Spinner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792480</xdr:colOff>
          <xdr:row>14</xdr:row>
          <xdr:rowOff>7620</xdr:rowOff>
        </xdr:from>
        <xdr:to>
          <xdr:col>2</xdr:col>
          <xdr:colOff>975360</xdr:colOff>
          <xdr:row>14</xdr:row>
          <xdr:rowOff>259080</xdr:rowOff>
        </xdr:to>
        <xdr:sp macro="" textlink="">
          <xdr:nvSpPr>
            <xdr:cNvPr id="6162" name="Spinner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822960</xdr:colOff>
          <xdr:row>13</xdr:row>
          <xdr:rowOff>15240</xdr:rowOff>
        </xdr:from>
        <xdr:to>
          <xdr:col>2</xdr:col>
          <xdr:colOff>967740</xdr:colOff>
          <xdr:row>13</xdr:row>
          <xdr:rowOff>251460</xdr:rowOff>
        </xdr:to>
        <xdr:sp macro="" textlink="">
          <xdr:nvSpPr>
            <xdr:cNvPr id="6163" name="Spinner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822960</xdr:colOff>
          <xdr:row>14</xdr:row>
          <xdr:rowOff>15240</xdr:rowOff>
        </xdr:from>
        <xdr:to>
          <xdr:col>2</xdr:col>
          <xdr:colOff>967740</xdr:colOff>
          <xdr:row>14</xdr:row>
          <xdr:rowOff>251460</xdr:rowOff>
        </xdr:to>
        <xdr:sp macro="" textlink="">
          <xdr:nvSpPr>
            <xdr:cNvPr id="6164" name="Spinner 20" hidden="1">
              <a:extLst>
                <a:ext uri="{63B3BB69-23CF-44E3-9099-C40C66FF867C}">
                  <a14:compatExt spid="_x0000_s6164"/>
                </a:ext>
                <a:ext uri="{FF2B5EF4-FFF2-40B4-BE49-F238E27FC236}">
                  <a16:creationId xmlns:a16="http://schemas.microsoft.com/office/drawing/2014/main" id="{00000000-0008-0000-0100-0000141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0</xdr:col>
      <xdr:colOff>166381</xdr:colOff>
      <xdr:row>26</xdr:row>
      <xdr:rowOff>6158</xdr:rowOff>
    </xdr:from>
    <xdr:to>
      <xdr:col>4</xdr:col>
      <xdr:colOff>936426</xdr:colOff>
      <xdr:row>26</xdr:row>
      <xdr:rowOff>258158</xdr:rowOff>
    </xdr:to>
    <xdr:sp macro="" textlink="">
      <xdr:nvSpPr>
        <xdr:cNvPr id="3" name="正方形/長方形 2">
          <a:extLst>
            <a:ext uri="{FF2B5EF4-FFF2-40B4-BE49-F238E27FC236}">
              <a16:creationId xmlns:a16="http://schemas.microsoft.com/office/drawing/2014/main" id="{13962A72-548A-30F3-D6AE-10420DC398DA}"/>
            </a:ext>
          </a:extLst>
        </xdr:cNvPr>
        <xdr:cNvSpPr/>
      </xdr:nvSpPr>
      <xdr:spPr>
        <a:xfrm>
          <a:off x="166381" y="7314431"/>
          <a:ext cx="4069159" cy="252000"/>
        </a:xfrm>
        <a:prstGeom prst="rect">
          <a:avLst/>
        </a:prstGeom>
        <a:noFill/>
        <a:ln w="127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5</xdr:col>
      <xdr:colOff>256674</xdr:colOff>
      <xdr:row>22</xdr:row>
      <xdr:rowOff>8021</xdr:rowOff>
    </xdr:from>
    <xdr:to>
      <xdr:col>11</xdr:col>
      <xdr:colOff>106169</xdr:colOff>
      <xdr:row>26</xdr:row>
      <xdr:rowOff>104273</xdr:rowOff>
    </xdr:to>
    <xdr:sp macro="" textlink="">
      <xdr:nvSpPr>
        <xdr:cNvPr id="13" name="テキスト ボックス 12">
          <a:extLst>
            <a:ext uri="{FF2B5EF4-FFF2-40B4-BE49-F238E27FC236}">
              <a16:creationId xmlns:a16="http://schemas.microsoft.com/office/drawing/2014/main" id="{58AE2F26-EEA2-05D5-9848-DEBEE0E6AC63}"/>
            </a:ext>
          </a:extLst>
        </xdr:cNvPr>
        <xdr:cNvSpPr txBox="1"/>
      </xdr:nvSpPr>
      <xdr:spPr>
        <a:xfrm>
          <a:off x="4499811" y="4740442"/>
          <a:ext cx="3852000" cy="938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latin typeface="Meiryo UI" panose="020B0604030504040204" pitchFamily="50" charset="-128"/>
              <a:ea typeface="Meiryo UI" panose="020B0604030504040204" pitchFamily="50" charset="-128"/>
            </a:rPr>
            <a:t>■ふるさと納税額とは</a:t>
          </a:r>
          <a:br>
            <a:rPr kumimoji="1" lang="ja-JP" altLang="en-US" sz="900" kern="1200">
              <a:latin typeface="Meiryo UI" panose="020B0604030504040204" pitchFamily="50" charset="-128"/>
              <a:ea typeface="Meiryo UI" panose="020B0604030504040204" pitchFamily="50" charset="-128"/>
            </a:rPr>
          </a:br>
          <a:r>
            <a:rPr kumimoji="1" lang="ja-JP" altLang="en-US" sz="900" kern="1200">
              <a:latin typeface="Meiryo UI" panose="020B0604030504040204" pitchFamily="50" charset="-128"/>
              <a:ea typeface="Meiryo UI" panose="020B0604030504040204" pitchFamily="50" charset="-128"/>
            </a:rPr>
            <a:t>寄附金のうち</a:t>
          </a:r>
          <a:r>
            <a:rPr kumimoji="1" lang="en-US" altLang="ja-JP" sz="900" kern="1200">
              <a:latin typeface="Meiryo UI" panose="020B0604030504040204" pitchFamily="50" charset="-128"/>
              <a:ea typeface="Meiryo UI" panose="020B0604030504040204" pitchFamily="50" charset="-128"/>
            </a:rPr>
            <a:t>2,000</a:t>
          </a:r>
          <a:r>
            <a:rPr kumimoji="1" lang="ja-JP" altLang="en-US" sz="900" kern="1200">
              <a:latin typeface="Meiryo UI" panose="020B0604030504040204" pitchFamily="50" charset="-128"/>
              <a:ea typeface="Meiryo UI" panose="020B0604030504040204" pitchFamily="50" charset="-128"/>
            </a:rPr>
            <a:t>円を超える金額が、原則として所得税と住民税から全額控除されます。ただし、ワンストップ特例を利用した場合は、すべて住民税からの控除となるため、利便性だけでなく最適額を求めるためにも比較が必要です。</a:t>
          </a:r>
          <a:br>
            <a:rPr kumimoji="1" lang="ja-JP" altLang="en-US" sz="900" kern="1200">
              <a:latin typeface="Meiryo UI" panose="020B0604030504040204" pitchFamily="50" charset="-128"/>
              <a:ea typeface="Meiryo UI" panose="020B0604030504040204" pitchFamily="50" charset="-128"/>
            </a:rPr>
          </a:br>
          <a:endParaRPr kumimoji="1" lang="ja-JP" altLang="en-US" sz="900" kern="1200">
            <a:latin typeface="Meiryo UI" panose="020B0604030504040204" pitchFamily="50" charset="-128"/>
            <a:ea typeface="Meiryo UI" panose="020B0604030504040204" pitchFamily="50" charset="-128"/>
          </a:endParaRPr>
        </a:p>
      </xdr:txBody>
    </xdr:sp>
    <xdr:clientData/>
  </xdr:twoCellAnchor>
  <xdr:twoCellAnchor>
    <xdr:from>
      <xdr:col>5</xdr:col>
      <xdr:colOff>256673</xdr:colOff>
      <xdr:row>31</xdr:row>
      <xdr:rowOff>16043</xdr:rowOff>
    </xdr:from>
    <xdr:to>
      <xdr:col>11</xdr:col>
      <xdr:colOff>106168</xdr:colOff>
      <xdr:row>33</xdr:row>
      <xdr:rowOff>176463</xdr:rowOff>
    </xdr:to>
    <xdr:sp macro="" textlink="">
      <xdr:nvSpPr>
        <xdr:cNvPr id="15" name="テキスト ボックス 14">
          <a:extLst>
            <a:ext uri="{FF2B5EF4-FFF2-40B4-BE49-F238E27FC236}">
              <a16:creationId xmlns:a16="http://schemas.microsoft.com/office/drawing/2014/main" id="{13B93E00-65A9-B4D9-A3F8-31DDF0FEE773}"/>
            </a:ext>
          </a:extLst>
        </xdr:cNvPr>
        <xdr:cNvSpPr txBox="1"/>
      </xdr:nvSpPr>
      <xdr:spPr>
        <a:xfrm>
          <a:off x="4499810" y="6914148"/>
          <a:ext cx="3852000" cy="689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solidFill>
                <a:schemeClr val="accent6"/>
              </a:solidFill>
              <a:latin typeface="Meiryo UI" panose="020B0604030504040204" pitchFamily="50" charset="-128"/>
              <a:ea typeface="Meiryo UI" panose="020B0604030504040204" pitchFamily="50" charset="-128"/>
            </a:rPr>
            <a:t>③の特例控除には「控除上限額」があり、その上限を超える寄附は減税にならず自己負担となります。この控除上限額は、「（住民税）算出所得割額の</a:t>
          </a:r>
          <a:r>
            <a:rPr kumimoji="1" lang="en-US" altLang="ja-JP" sz="900" kern="1200">
              <a:solidFill>
                <a:schemeClr val="accent6"/>
              </a:solidFill>
              <a:latin typeface="Meiryo UI" panose="020B0604030504040204" pitchFamily="50" charset="-128"/>
              <a:ea typeface="Meiryo UI" panose="020B0604030504040204" pitchFamily="50" charset="-128"/>
            </a:rPr>
            <a:t>20%</a:t>
          </a:r>
          <a:r>
            <a:rPr kumimoji="1" lang="ja-JP" altLang="en-US" sz="900" kern="1200">
              <a:solidFill>
                <a:schemeClr val="accent6"/>
              </a:solidFill>
              <a:latin typeface="Meiryo UI" panose="020B0604030504040204" pitchFamily="50" charset="-128"/>
              <a:ea typeface="Meiryo UI" panose="020B0604030504040204" pitchFamily="50" charset="-128"/>
            </a:rPr>
            <a:t>」であるため具体的な住民税の計算が必要になります</a:t>
          </a:r>
        </a:p>
        <a:p>
          <a:endParaRPr kumimoji="1" lang="ja-JP" altLang="en-US" sz="900" kern="1200">
            <a:solidFill>
              <a:schemeClr val="accent6"/>
            </a:solidFill>
            <a:latin typeface="Meiryo UI" panose="020B0604030504040204" pitchFamily="50" charset="-128"/>
            <a:ea typeface="Meiryo UI" panose="020B0604030504040204" pitchFamily="50" charset="-128"/>
          </a:endParaRPr>
        </a:p>
      </xdr:txBody>
    </xdr:sp>
    <xdr:clientData/>
  </xdr:twoCellAnchor>
  <xdr:twoCellAnchor>
    <xdr:from>
      <xdr:col>5</xdr:col>
      <xdr:colOff>256674</xdr:colOff>
      <xdr:row>26</xdr:row>
      <xdr:rowOff>16043</xdr:rowOff>
    </xdr:from>
    <xdr:to>
      <xdr:col>11</xdr:col>
      <xdr:colOff>106169</xdr:colOff>
      <xdr:row>27</xdr:row>
      <xdr:rowOff>120317</xdr:rowOff>
    </xdr:to>
    <xdr:sp macro="" textlink="">
      <xdr:nvSpPr>
        <xdr:cNvPr id="16" name="テキスト ボックス 15">
          <a:extLst>
            <a:ext uri="{FF2B5EF4-FFF2-40B4-BE49-F238E27FC236}">
              <a16:creationId xmlns:a16="http://schemas.microsoft.com/office/drawing/2014/main" id="{BF4C4C22-05BC-4D67-92DD-560C4F24F169}"/>
            </a:ext>
          </a:extLst>
        </xdr:cNvPr>
        <xdr:cNvSpPr txBox="1"/>
      </xdr:nvSpPr>
      <xdr:spPr>
        <a:xfrm>
          <a:off x="4499811" y="5590675"/>
          <a:ext cx="3852000" cy="368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kern="1200">
              <a:latin typeface="Meiryo UI" panose="020B0604030504040204" pitchFamily="50" charset="-128"/>
              <a:ea typeface="Meiryo UI" panose="020B0604030504040204" pitchFamily="50" charset="-128"/>
            </a:rPr>
            <a:t>■具体的な減税方法</a:t>
          </a:r>
          <a:br>
            <a:rPr kumimoji="1" lang="ja-JP" altLang="en-US" sz="900" kern="1200">
              <a:latin typeface="Meiryo UI" panose="020B0604030504040204" pitchFamily="50" charset="-128"/>
              <a:ea typeface="Meiryo UI" panose="020B0604030504040204" pitchFamily="50" charset="-128"/>
            </a:rPr>
          </a:br>
          <a:br>
            <a:rPr kumimoji="1" lang="ja-JP" altLang="en-US" sz="900" kern="1200">
              <a:latin typeface="Meiryo UI" panose="020B0604030504040204" pitchFamily="50" charset="-128"/>
              <a:ea typeface="Meiryo UI" panose="020B0604030504040204" pitchFamily="50" charset="-128"/>
            </a:rPr>
          </a:br>
          <a:endParaRPr kumimoji="1" lang="ja-JP" altLang="en-US" sz="900" kern="1200">
            <a:latin typeface="Meiryo UI" panose="020B0604030504040204" pitchFamily="50" charset="-128"/>
            <a:ea typeface="Meiryo UI" panose="020B0604030504040204" pitchFamily="50" charset="-128"/>
          </a:endParaRPr>
        </a:p>
      </xdr:txBody>
    </xdr:sp>
    <xdr:clientData/>
  </xdr:twoCellAnchor>
  <xdr:twoCellAnchor>
    <xdr:from>
      <xdr:col>5</xdr:col>
      <xdr:colOff>224589</xdr:colOff>
      <xdr:row>22</xdr:row>
      <xdr:rowOff>48126</xdr:rowOff>
    </xdr:from>
    <xdr:to>
      <xdr:col>11</xdr:col>
      <xdr:colOff>160421</xdr:colOff>
      <xdr:row>33</xdr:row>
      <xdr:rowOff>120316</xdr:rowOff>
    </xdr:to>
    <xdr:sp macro="" textlink="">
      <xdr:nvSpPr>
        <xdr:cNvPr id="18" name="正方形/長方形 17">
          <a:extLst>
            <a:ext uri="{FF2B5EF4-FFF2-40B4-BE49-F238E27FC236}">
              <a16:creationId xmlns:a16="http://schemas.microsoft.com/office/drawing/2014/main" id="{2BC4D9B3-9C3A-D7FA-8308-81821E2F69C0}"/>
            </a:ext>
          </a:extLst>
        </xdr:cNvPr>
        <xdr:cNvSpPr/>
      </xdr:nvSpPr>
      <xdr:spPr>
        <a:xfrm>
          <a:off x="4467726" y="4780547"/>
          <a:ext cx="3938337" cy="2767264"/>
        </a:xfrm>
        <a:prstGeom prst="rect">
          <a:avLst/>
        </a:prstGeom>
        <a:noFill/>
        <a:ln w="3175">
          <a:solidFill>
            <a:schemeClr val="accent6">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13</xdr:col>
      <xdr:colOff>634205</xdr:colOff>
      <xdr:row>10</xdr:row>
      <xdr:rowOff>136358</xdr:rowOff>
    </xdr:from>
    <xdr:to>
      <xdr:col>19</xdr:col>
      <xdr:colOff>582202</xdr:colOff>
      <xdr:row>10</xdr:row>
      <xdr:rowOff>136358</xdr:rowOff>
    </xdr:to>
    <xdr:cxnSp macro="">
      <xdr:nvCxnSpPr>
        <xdr:cNvPr id="26" name="直線コネクタ 25">
          <a:extLst>
            <a:ext uri="{FF2B5EF4-FFF2-40B4-BE49-F238E27FC236}">
              <a16:creationId xmlns:a16="http://schemas.microsoft.com/office/drawing/2014/main" id="{BFD37D3F-36F5-C65F-E768-C14F632EEDC7}"/>
            </a:ext>
          </a:extLst>
        </xdr:cNvPr>
        <xdr:cNvCxnSpPr/>
      </xdr:nvCxnSpPr>
      <xdr:spPr>
        <a:xfrm>
          <a:off x="9375801" y="2242560"/>
          <a:ext cx="3954918" cy="0"/>
        </a:xfrm>
        <a:prstGeom prst="line">
          <a:avLst/>
        </a:prstGeom>
        <a:ln w="3175">
          <a:solidFill>
            <a:schemeClr val="accent2"/>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69396</xdr:colOff>
      <xdr:row>14</xdr:row>
      <xdr:rowOff>88862</xdr:rowOff>
    </xdr:from>
    <xdr:to>
      <xdr:col>19</xdr:col>
      <xdr:colOff>582202</xdr:colOff>
      <xdr:row>14</xdr:row>
      <xdr:rowOff>88862</xdr:rowOff>
    </xdr:to>
    <xdr:cxnSp macro="">
      <xdr:nvCxnSpPr>
        <xdr:cNvPr id="6" name="直線コネクタ 5">
          <a:extLst>
            <a:ext uri="{FF2B5EF4-FFF2-40B4-BE49-F238E27FC236}">
              <a16:creationId xmlns:a16="http://schemas.microsoft.com/office/drawing/2014/main" id="{3CFC875E-1242-49DA-A0A5-0D4801B17E39}"/>
            </a:ext>
          </a:extLst>
        </xdr:cNvPr>
        <xdr:cNvCxnSpPr/>
      </xdr:nvCxnSpPr>
      <xdr:spPr>
        <a:xfrm>
          <a:off x="8810992" y="3256727"/>
          <a:ext cx="4519727" cy="0"/>
        </a:xfrm>
        <a:prstGeom prst="line">
          <a:avLst/>
        </a:prstGeom>
        <a:ln w="3175">
          <a:solidFill>
            <a:schemeClr val="accent2"/>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72572</xdr:rowOff>
    </xdr:from>
    <xdr:to>
      <xdr:col>24</xdr:col>
      <xdr:colOff>2057</xdr:colOff>
      <xdr:row>26</xdr:row>
      <xdr:rowOff>90971</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346892"/>
          <a:ext cx="16095497" cy="6114399"/>
        </a:xfrm>
        <a:prstGeom prst="rect">
          <a:avLst/>
        </a:prstGeom>
      </xdr:spPr>
    </xdr:pic>
    <xdr:clientData/>
  </xdr:twoCellAnchor>
  <xdr:twoCellAnchor editAs="oneCell">
    <xdr:from>
      <xdr:col>0</xdr:col>
      <xdr:colOff>0</xdr:colOff>
      <xdr:row>29</xdr:row>
      <xdr:rowOff>59264</xdr:rowOff>
    </xdr:from>
    <xdr:to>
      <xdr:col>24</xdr:col>
      <xdr:colOff>2057</xdr:colOff>
      <xdr:row>70</xdr:row>
      <xdr:rowOff>74044</xdr:rowOff>
    </xdr:to>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8064"/>
          <a:ext cx="16054857" cy="973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AC950-F49F-40B4-B7D3-2E4F957BDD31}">
  <sheetPr codeName="Sheet1"/>
  <dimension ref="A1:AH64"/>
  <sheetViews>
    <sheetView topLeftCell="A32" workbookViewId="0">
      <selection activeCell="N56" sqref="N56"/>
    </sheetView>
  </sheetViews>
  <sheetFormatPr defaultColWidth="8.09765625" defaultRowHeight="15" x14ac:dyDescent="0.45"/>
  <cols>
    <col min="1" max="1" width="8.09765625" style="4"/>
    <col min="2" max="2" width="14.796875" style="4" customWidth="1"/>
    <col min="3" max="4" width="20.69921875" style="76" customWidth="1"/>
    <col min="5" max="5" width="14.796875" style="4" customWidth="1"/>
    <col min="6" max="7" width="12.59765625" style="47" customWidth="1"/>
    <col min="8" max="8" width="12.59765625" style="17" customWidth="1"/>
    <col min="9" max="10" width="12.59765625" style="47" customWidth="1"/>
    <col min="11" max="11" width="12.59765625" style="4" customWidth="1"/>
    <col min="12" max="12" width="8.09765625" style="4"/>
    <col min="13" max="13" width="1.09765625" style="4" customWidth="1"/>
    <col min="14" max="15" width="11.5" style="4" customWidth="1"/>
    <col min="16" max="19" width="17.5" style="17" customWidth="1"/>
    <col min="20" max="20" width="1.09765625" style="4" customWidth="1"/>
    <col min="21" max="21" width="1" style="4" customWidth="1"/>
    <col min="22" max="22" width="1.09765625" style="4" customWidth="1"/>
    <col min="23" max="26" width="17.5" style="17" customWidth="1"/>
    <col min="27" max="27" width="1.09765625" style="4" customWidth="1"/>
    <col min="28" max="28" width="8.296875" style="4" bestFit="1" customWidth="1"/>
    <col min="29" max="29" width="14.796875" style="4" customWidth="1"/>
    <col min="30" max="30" width="12.19921875" style="4" customWidth="1"/>
    <col min="31" max="32" width="8.296875" style="4" customWidth="1"/>
    <col min="33" max="16384" width="8.09765625" style="4"/>
  </cols>
  <sheetData>
    <row r="1" spans="1:34" x14ac:dyDescent="0.45">
      <c r="A1" s="322" t="s">
        <v>3</v>
      </c>
      <c r="B1" s="1" t="s">
        <v>4</v>
      </c>
      <c r="C1" s="2">
        <f ca="1">IF(ふるさと納税自己負担計算シート!P9="使用期間中",ふるさと納税自己負担計算シート!C4,0)</f>
        <v>0</v>
      </c>
      <c r="D1" s="3" t="s">
        <v>5</v>
      </c>
      <c r="F1" s="331" t="s">
        <v>6</v>
      </c>
      <c r="G1" s="331"/>
      <c r="H1" s="335">
        <v>44951</v>
      </c>
      <c r="I1" s="335"/>
      <c r="J1" s="5" t="s">
        <v>0</v>
      </c>
      <c r="K1" s="5" t="s">
        <v>2</v>
      </c>
      <c r="M1" s="6"/>
      <c r="N1" s="336" t="s">
        <v>7</v>
      </c>
      <c r="O1" s="336"/>
      <c r="P1" s="336"/>
      <c r="Q1" s="336"/>
      <c r="R1" s="336"/>
      <c r="S1" s="336"/>
      <c r="T1" s="7"/>
      <c r="V1" s="8"/>
      <c r="W1" s="337" t="s">
        <v>1</v>
      </c>
      <c r="X1" s="337"/>
      <c r="Y1" s="337"/>
      <c r="Z1" s="337"/>
      <c r="AA1" s="9"/>
      <c r="AC1" s="333" t="s">
        <v>93</v>
      </c>
      <c r="AD1" s="334"/>
      <c r="AH1" s="4" t="s">
        <v>8</v>
      </c>
    </row>
    <row r="2" spans="1:34" x14ac:dyDescent="0.45">
      <c r="A2" s="323"/>
      <c r="B2" s="1" t="s">
        <v>9</v>
      </c>
      <c r="C2" s="2">
        <f ca="1">IF(C21&lt;=R2,1,0)</f>
        <v>1</v>
      </c>
      <c r="D2" s="3" t="s">
        <v>10</v>
      </c>
      <c r="F2" s="10">
        <v>1</v>
      </c>
      <c r="G2" s="11">
        <v>1625000</v>
      </c>
      <c r="H2" s="12">
        <v>0</v>
      </c>
      <c r="I2" s="13">
        <v>550000</v>
      </c>
      <c r="J2" s="189">
        <f ca="1">IF(AND($C$1&gt;F2,$C$1&lt;=G2),I2,0)</f>
        <v>0</v>
      </c>
      <c r="K2" s="190">
        <f ca="1">IF(AND($C$14&gt;F2,$C$14&lt;=G2),I2,0)</f>
        <v>0</v>
      </c>
      <c r="M2" s="15"/>
      <c r="N2" s="4" t="s">
        <v>81</v>
      </c>
      <c r="O2" s="4" t="s">
        <v>11</v>
      </c>
      <c r="P2" s="338" t="s">
        <v>12</v>
      </c>
      <c r="Q2" s="338"/>
      <c r="R2" s="16">
        <v>480000</v>
      </c>
      <c r="S2" s="17" t="s">
        <v>13</v>
      </c>
      <c r="T2" s="18"/>
      <c r="V2" s="19"/>
      <c r="W2" s="173" t="s">
        <v>27</v>
      </c>
      <c r="X2" s="174">
        <v>430000</v>
      </c>
      <c r="AA2" s="20"/>
      <c r="AC2" s="197" t="s">
        <v>3</v>
      </c>
      <c r="AD2" s="198"/>
      <c r="AH2" s="4" t="s">
        <v>14</v>
      </c>
    </row>
    <row r="3" spans="1:34" x14ac:dyDescent="0.45">
      <c r="A3" s="323"/>
      <c r="B3" s="1" t="s">
        <v>15</v>
      </c>
      <c r="C3" s="2">
        <f>ふるさと納税自己負担計算シート!C13</f>
        <v>0</v>
      </c>
      <c r="D3" s="3" t="s">
        <v>10</v>
      </c>
      <c r="F3" s="21">
        <f>G2+1</f>
        <v>1625001</v>
      </c>
      <c r="G3" s="22">
        <v>1800000</v>
      </c>
      <c r="H3" s="23">
        <v>0.4</v>
      </c>
      <c r="I3" s="24">
        <v>-100000</v>
      </c>
      <c r="J3" s="191">
        <f ca="1">IF(AND($C$1&gt;F3,$C$1&lt;=G3),$C$1*H3+I3,0)</f>
        <v>0</v>
      </c>
      <c r="K3" s="192">
        <f ca="1">IF(AND($C$14&gt;F3,$C$14&lt;=G3),$C$14*H3+I3,0)</f>
        <v>0</v>
      </c>
      <c r="M3" s="15"/>
      <c r="N3" s="172">
        <v>480000</v>
      </c>
      <c r="P3" s="339" t="s">
        <v>16</v>
      </c>
      <c r="Q3" s="340"/>
      <c r="R3" s="340"/>
      <c r="S3" s="341"/>
      <c r="T3" s="25"/>
      <c r="U3" s="26"/>
      <c r="V3" s="27"/>
      <c r="W3" s="339" t="s">
        <v>16</v>
      </c>
      <c r="X3" s="340"/>
      <c r="Y3" s="340"/>
      <c r="Z3" s="341"/>
      <c r="AA3" s="20"/>
      <c r="AC3" s="195" t="s">
        <v>28</v>
      </c>
      <c r="AD3" s="196"/>
    </row>
    <row r="4" spans="1:34" x14ac:dyDescent="0.45">
      <c r="A4" s="323"/>
      <c r="B4" s="1" t="s">
        <v>17</v>
      </c>
      <c r="C4" s="2">
        <f>ふるさと納税自己負担計算シート!C14</f>
        <v>0</v>
      </c>
      <c r="D4" s="3" t="s">
        <v>10</v>
      </c>
      <c r="F4" s="21">
        <f>G3+1</f>
        <v>1800001</v>
      </c>
      <c r="G4" s="22">
        <v>3600000</v>
      </c>
      <c r="H4" s="23">
        <v>0.3</v>
      </c>
      <c r="I4" s="24">
        <v>80000</v>
      </c>
      <c r="J4" s="191">
        <f ca="1">IF(AND($C$1&gt;F4,$C$1&lt;=G4),$C$1*H4+I4,0)</f>
        <v>0</v>
      </c>
      <c r="K4" s="192">
        <f ca="1">IF(AND($C$14&gt;F4,$C$14&lt;=G4),$C$14*H4+I4,0)</f>
        <v>0</v>
      </c>
      <c r="M4" s="15"/>
      <c r="P4" s="28">
        <v>9000000</v>
      </c>
      <c r="Q4" s="29">
        <v>9500000</v>
      </c>
      <c r="R4" s="29">
        <v>10000000</v>
      </c>
      <c r="S4" s="30">
        <v>10000000</v>
      </c>
      <c r="T4" s="31"/>
      <c r="U4" s="32"/>
      <c r="V4" s="33"/>
      <c r="W4" s="28">
        <v>9000000</v>
      </c>
      <c r="X4" s="29">
        <v>9500000</v>
      </c>
      <c r="Y4" s="29">
        <v>10000000</v>
      </c>
      <c r="Z4" s="30">
        <v>10000000</v>
      </c>
      <c r="AA4" s="20"/>
    </row>
    <row r="5" spans="1:34" x14ac:dyDescent="0.45">
      <c r="A5" s="323"/>
      <c r="B5" s="1" t="s">
        <v>18</v>
      </c>
      <c r="C5" s="2">
        <f>ふるさと納税自己負担計算シート!C15</f>
        <v>0</v>
      </c>
      <c r="D5" s="3" t="s">
        <v>10</v>
      </c>
      <c r="F5" s="34">
        <f>G4+1</f>
        <v>3600001</v>
      </c>
      <c r="G5" s="22">
        <v>6600000</v>
      </c>
      <c r="H5" s="23">
        <v>0.2</v>
      </c>
      <c r="I5" s="24">
        <v>440000</v>
      </c>
      <c r="J5" s="191">
        <f ca="1">IF(AND($C$1&gt;F5,$C$1&lt;=G5),$C$1*H5+I5,0)</f>
        <v>0</v>
      </c>
      <c r="K5" s="192">
        <f ca="1">IF(AND($C$14&gt;F5,$C$14&lt;=G5),$C$14*H5+I5,0)</f>
        <v>0</v>
      </c>
      <c r="M5" s="15"/>
      <c r="P5" s="35">
        <v>380000</v>
      </c>
      <c r="Q5" s="36">
        <v>260000</v>
      </c>
      <c r="R5" s="36">
        <v>130000</v>
      </c>
      <c r="S5" s="37">
        <v>0</v>
      </c>
      <c r="T5" s="18"/>
      <c r="V5" s="19"/>
      <c r="W5" s="35">
        <v>330000</v>
      </c>
      <c r="X5" s="36">
        <v>220000</v>
      </c>
      <c r="Y5" s="36">
        <v>110000</v>
      </c>
      <c r="Z5" s="37">
        <v>0</v>
      </c>
      <c r="AA5" s="38"/>
    </row>
    <row r="6" spans="1:34" x14ac:dyDescent="0.45">
      <c r="A6" s="323"/>
      <c r="B6" s="39" t="s">
        <v>19</v>
      </c>
      <c r="C6" s="40">
        <f ca="1">SUM(J2:J7)</f>
        <v>0</v>
      </c>
      <c r="D6" s="2"/>
      <c r="F6" s="34">
        <f>G5+1</f>
        <v>6600001</v>
      </c>
      <c r="G6" s="22">
        <v>8500000</v>
      </c>
      <c r="H6" s="23">
        <v>0.1</v>
      </c>
      <c r="I6" s="24">
        <v>1100000</v>
      </c>
      <c r="J6" s="191">
        <f ca="1">IF(AND($C$1&gt;F6,$C$1&lt;=G6),$C$1*H6+I6,0)</f>
        <v>0</v>
      </c>
      <c r="K6" s="192">
        <f ca="1">IF(AND($C$14&gt;F6,$C$14&lt;=G6),$C$14*H6+I6,0)</f>
        <v>0</v>
      </c>
      <c r="M6" s="15"/>
      <c r="T6" s="18"/>
      <c r="V6" s="19"/>
      <c r="AA6" s="20"/>
    </row>
    <row r="7" spans="1:34" x14ac:dyDescent="0.45">
      <c r="A7" s="323"/>
      <c r="B7" s="39" t="s">
        <v>20</v>
      </c>
      <c r="C7" s="2">
        <f ca="1">ROUNDDOWN(C1-C6,-3)</f>
        <v>0</v>
      </c>
      <c r="D7" s="2"/>
      <c r="F7" s="41">
        <f>G6+1</f>
        <v>8500001</v>
      </c>
      <c r="G7" s="42">
        <v>99999999</v>
      </c>
      <c r="H7" s="43"/>
      <c r="I7" s="44">
        <v>1950000</v>
      </c>
      <c r="J7" s="193">
        <f ca="1">IF(AND($C$1&gt;F7,$C$1&lt;=G7),$C$1*H7+I7,0)</f>
        <v>0</v>
      </c>
      <c r="K7" s="194">
        <f ca="1">IF(AND($C$14&gt;F7,$C$14&lt;=G7),$C$14*H7+I7,0)</f>
        <v>0</v>
      </c>
      <c r="M7" s="15"/>
      <c r="N7" s="4" t="s">
        <v>21</v>
      </c>
      <c r="T7" s="18"/>
      <c r="V7" s="19"/>
      <c r="AA7" s="20"/>
    </row>
    <row r="8" spans="1:34" x14ac:dyDescent="0.45">
      <c r="A8" s="323"/>
      <c r="B8" s="39"/>
      <c r="C8" s="45" t="s">
        <v>7</v>
      </c>
      <c r="D8" s="46" t="s">
        <v>1</v>
      </c>
      <c r="M8" s="15"/>
      <c r="N8" s="48">
        <v>480000</v>
      </c>
      <c r="O8" s="49">
        <v>950000</v>
      </c>
      <c r="P8" s="50">
        <v>380000</v>
      </c>
      <c r="Q8" s="51">
        <v>260000</v>
      </c>
      <c r="R8" s="51">
        <v>130000</v>
      </c>
      <c r="S8" s="52">
        <v>0</v>
      </c>
      <c r="T8" s="18"/>
      <c r="V8" s="19"/>
      <c r="W8" s="48">
        <v>330000</v>
      </c>
      <c r="X8" s="53">
        <v>220000</v>
      </c>
      <c r="Y8" s="53">
        <v>110000</v>
      </c>
      <c r="Z8" s="54">
        <v>0</v>
      </c>
      <c r="AA8" s="20"/>
    </row>
    <row r="9" spans="1:34" x14ac:dyDescent="0.45">
      <c r="A9" s="323"/>
      <c r="B9" s="39" t="s">
        <v>22</v>
      </c>
      <c r="C9" s="55">
        <f ca="1">SUM(G12:G23)</f>
        <v>1080000</v>
      </c>
      <c r="D9" s="56">
        <f ca="1">SUM(H12:H23)</f>
        <v>990000</v>
      </c>
      <c r="F9" s="47" t="s">
        <v>23</v>
      </c>
      <c r="H9" s="17">
        <f ca="1">IF(C7&lt;=$P$4,1,IF(C7&lt;=$Q$4,2,IF(C7&lt;=$R$4,3,4)))</f>
        <v>1</v>
      </c>
      <c r="J9" s="17">
        <f ca="1">IF(C21&lt;=$P$4,1,IF(E7&lt;=$Q$4,2,IF(E7&lt;=$R$4,3,4)))</f>
        <v>1</v>
      </c>
      <c r="M9" s="15"/>
      <c r="N9" s="57">
        <f>O8+1</f>
        <v>950001</v>
      </c>
      <c r="O9" s="58">
        <f>N9+49999</f>
        <v>1000000</v>
      </c>
      <c r="P9" s="59">
        <v>360000</v>
      </c>
      <c r="Q9" s="60">
        <v>240000</v>
      </c>
      <c r="R9" s="60">
        <v>120000</v>
      </c>
      <c r="S9" s="61">
        <v>0</v>
      </c>
      <c r="T9" s="18"/>
      <c r="V9" s="19"/>
      <c r="W9" s="57">
        <v>310000</v>
      </c>
      <c r="X9" s="62">
        <v>210000</v>
      </c>
      <c r="Y9" s="62">
        <v>110000</v>
      </c>
      <c r="Z9" s="63">
        <v>0</v>
      </c>
      <c r="AA9" s="20"/>
    </row>
    <row r="10" spans="1:34" x14ac:dyDescent="0.45">
      <c r="A10" s="323"/>
      <c r="B10" s="39" t="s">
        <v>24</v>
      </c>
      <c r="C10" s="55">
        <f ca="1">IF((C7-C9)&lt;0,0,C7-C9)</f>
        <v>0</v>
      </c>
      <c r="D10" s="56">
        <f ca="1">IF((C7-D9)&lt;0,0,C7-D9)</f>
        <v>0</v>
      </c>
      <c r="F10" s="64"/>
      <c r="G10" s="344" t="s">
        <v>0</v>
      </c>
      <c r="H10" s="345"/>
      <c r="I10" s="342" t="s">
        <v>2</v>
      </c>
      <c r="J10" s="343"/>
      <c r="M10" s="15"/>
      <c r="N10" s="57">
        <f t="shared" ref="N10:N16" si="0">O9+1</f>
        <v>1000001</v>
      </c>
      <c r="O10" s="58">
        <f t="shared" ref="O10:O15" si="1">N10+49999</f>
        <v>1050000</v>
      </c>
      <c r="P10" s="65">
        <f t="shared" ref="P10:P15" si="2">P9-50000</f>
        <v>310000</v>
      </c>
      <c r="Q10" s="66">
        <v>210000</v>
      </c>
      <c r="R10" s="66">
        <v>110000</v>
      </c>
      <c r="S10" s="61">
        <v>0</v>
      </c>
      <c r="T10" s="18"/>
      <c r="V10" s="19"/>
      <c r="W10" s="57">
        <v>260000</v>
      </c>
      <c r="X10" s="62">
        <v>180000</v>
      </c>
      <c r="Y10" s="62">
        <v>90000</v>
      </c>
      <c r="Z10" s="63">
        <v>0</v>
      </c>
      <c r="AA10" s="20"/>
    </row>
    <row r="11" spans="1:34" x14ac:dyDescent="0.45">
      <c r="A11" s="323"/>
      <c r="B11" s="39" t="s">
        <v>25</v>
      </c>
      <c r="C11" s="55">
        <f ca="1">SUM(J27:J33)</f>
        <v>0</v>
      </c>
      <c r="D11" s="56">
        <f ca="1">ROUNDDOWN(D10*10%,-3)</f>
        <v>0</v>
      </c>
      <c r="F11" s="67"/>
      <c r="G11" s="68" t="s">
        <v>7</v>
      </c>
      <c r="H11" s="69" t="s">
        <v>1</v>
      </c>
      <c r="I11" s="70" t="s">
        <v>7</v>
      </c>
      <c r="J11" s="69" t="s">
        <v>1</v>
      </c>
      <c r="M11" s="15"/>
      <c r="N11" s="57">
        <f t="shared" si="0"/>
        <v>1050001</v>
      </c>
      <c r="O11" s="58">
        <f t="shared" si="1"/>
        <v>1100000</v>
      </c>
      <c r="P11" s="65">
        <f t="shared" si="2"/>
        <v>260000</v>
      </c>
      <c r="Q11" s="66">
        <v>180000</v>
      </c>
      <c r="R11" s="66">
        <v>90000</v>
      </c>
      <c r="S11" s="61">
        <v>0</v>
      </c>
      <c r="T11" s="18"/>
      <c r="V11" s="19"/>
      <c r="W11" s="57">
        <v>210000</v>
      </c>
      <c r="X11" s="62">
        <v>140000</v>
      </c>
      <c r="Y11" s="62">
        <v>70000</v>
      </c>
      <c r="Z11" s="63">
        <v>0</v>
      </c>
      <c r="AA11" s="20"/>
    </row>
    <row r="12" spans="1:34" x14ac:dyDescent="0.45">
      <c r="A12" s="324"/>
      <c r="B12" s="39" t="s">
        <v>26</v>
      </c>
      <c r="C12" s="71">
        <f ca="1">C1-C11-D11-G19</f>
        <v>-500000</v>
      </c>
      <c r="D12" s="72"/>
      <c r="F12" s="73" t="s">
        <v>27</v>
      </c>
      <c r="G12" s="74">
        <f ca="1">IF(C1&gt;0,N3,0)</f>
        <v>0</v>
      </c>
      <c r="H12" s="75">
        <f ca="1">IF(C1&gt;0,X2,0)</f>
        <v>0</v>
      </c>
      <c r="I12" s="200"/>
      <c r="J12" s="201"/>
      <c r="M12" s="15"/>
      <c r="N12" s="57">
        <f t="shared" si="0"/>
        <v>1100001</v>
      </c>
      <c r="O12" s="58">
        <f t="shared" si="1"/>
        <v>1150000</v>
      </c>
      <c r="P12" s="65">
        <f t="shared" si="2"/>
        <v>210000</v>
      </c>
      <c r="Q12" s="66">
        <v>140000</v>
      </c>
      <c r="R12" s="66">
        <v>70000</v>
      </c>
      <c r="S12" s="61">
        <v>0</v>
      </c>
      <c r="T12" s="18"/>
      <c r="V12" s="19"/>
      <c r="W12" s="57">
        <v>160000</v>
      </c>
      <c r="X12" s="62">
        <v>110000</v>
      </c>
      <c r="Y12" s="62">
        <v>60000</v>
      </c>
      <c r="Z12" s="63">
        <v>0</v>
      </c>
      <c r="AA12" s="20"/>
    </row>
    <row r="13" spans="1:34" x14ac:dyDescent="0.45">
      <c r="F13" s="73" t="s">
        <v>11</v>
      </c>
      <c r="G13" s="77">
        <f ca="1">IF($C$7&lt;=$P$4,P5,IF($C$7&lt;=$Q$4,Q5,IF($C$7&gt;$S$4,S5,R5)))*C2</f>
        <v>380000</v>
      </c>
      <c r="H13" s="77">
        <f ca="1">IF($C$7&lt;=$W$4,W5,IF($C$7&lt;=$X$4,X5,IF($C$7&gt;$Z$4,Z5,Y5)))*C2</f>
        <v>330000</v>
      </c>
      <c r="I13" s="202"/>
      <c r="J13" s="203"/>
      <c r="M13" s="15"/>
      <c r="N13" s="57">
        <f t="shared" si="0"/>
        <v>1150001</v>
      </c>
      <c r="O13" s="58">
        <f t="shared" si="1"/>
        <v>1200000</v>
      </c>
      <c r="P13" s="65">
        <f t="shared" si="2"/>
        <v>160000</v>
      </c>
      <c r="Q13" s="66">
        <v>110000</v>
      </c>
      <c r="R13" s="66">
        <v>60000</v>
      </c>
      <c r="S13" s="61">
        <v>0</v>
      </c>
      <c r="T13" s="18"/>
      <c r="V13" s="19"/>
      <c r="W13" s="57">
        <v>110000</v>
      </c>
      <c r="X13" s="62">
        <v>80000</v>
      </c>
      <c r="Y13" s="62">
        <v>40000</v>
      </c>
      <c r="Z13" s="63">
        <v>0</v>
      </c>
      <c r="AA13" s="20"/>
    </row>
    <row r="14" spans="1:34" x14ac:dyDescent="0.45">
      <c r="A14" s="322" t="s">
        <v>28</v>
      </c>
      <c r="B14" s="1" t="s">
        <v>4</v>
      </c>
      <c r="C14" s="2">
        <f ca="1">IF(ふるさと納税自己負担計算シート!P9="使用期間中",ふるさと納税自己負担計算シート!C5,0)</f>
        <v>0</v>
      </c>
      <c r="D14" s="3" t="s">
        <v>5</v>
      </c>
      <c r="F14" s="78" t="s">
        <v>29</v>
      </c>
      <c r="G14" s="74">
        <f ca="1">IF(C21&lt;=480000,0,IF(C21&gt;$O$16,0,VLOOKUP(C21,$N$8:$S$16,2+H9,TRUE)))</f>
        <v>0</v>
      </c>
      <c r="H14" s="75">
        <f ca="1">IF(C21&lt;=480000,0,IF(C21&gt;$O$16,0,VLOOKUP(C21,$N$8:$Z$16,7+H9,TRUE)))</f>
        <v>0</v>
      </c>
      <c r="I14" s="204"/>
      <c r="J14" s="203"/>
      <c r="M14" s="15"/>
      <c r="N14" s="57">
        <f t="shared" si="0"/>
        <v>1200001</v>
      </c>
      <c r="O14" s="58">
        <f t="shared" si="1"/>
        <v>1250000</v>
      </c>
      <c r="P14" s="65">
        <f t="shared" si="2"/>
        <v>110000</v>
      </c>
      <c r="Q14" s="66">
        <v>80000</v>
      </c>
      <c r="R14" s="66">
        <v>40000</v>
      </c>
      <c r="S14" s="61">
        <v>0</v>
      </c>
      <c r="T14" s="18"/>
      <c r="V14" s="19"/>
      <c r="W14" s="57">
        <v>60000</v>
      </c>
      <c r="X14" s="62">
        <v>40000</v>
      </c>
      <c r="Y14" s="62">
        <v>20000</v>
      </c>
      <c r="Z14" s="63">
        <v>0</v>
      </c>
      <c r="AA14" s="20"/>
    </row>
    <row r="15" spans="1:34" x14ac:dyDescent="0.45">
      <c r="A15" s="323"/>
      <c r="B15" s="1" t="s">
        <v>9</v>
      </c>
      <c r="C15" s="2"/>
      <c r="D15" s="3" t="s">
        <v>10</v>
      </c>
      <c r="F15" s="73" t="s">
        <v>15</v>
      </c>
      <c r="G15" s="79">
        <f>C3*P20</f>
        <v>0</v>
      </c>
      <c r="H15" s="80">
        <f>C3*W20</f>
        <v>0</v>
      </c>
      <c r="I15" s="200"/>
      <c r="J15" s="201"/>
      <c r="M15" s="15"/>
      <c r="N15" s="57">
        <f t="shared" si="0"/>
        <v>1250001</v>
      </c>
      <c r="O15" s="58">
        <f t="shared" si="1"/>
        <v>1300000</v>
      </c>
      <c r="P15" s="65">
        <f t="shared" si="2"/>
        <v>60000</v>
      </c>
      <c r="Q15" s="66">
        <v>40000</v>
      </c>
      <c r="R15" s="66">
        <v>20000</v>
      </c>
      <c r="S15" s="61">
        <v>0</v>
      </c>
      <c r="T15" s="18"/>
      <c r="V15" s="19"/>
      <c r="W15" s="57">
        <v>30000</v>
      </c>
      <c r="X15" s="62">
        <v>20000</v>
      </c>
      <c r="Y15" s="62">
        <v>10000</v>
      </c>
      <c r="Z15" s="63">
        <v>0</v>
      </c>
      <c r="AA15" s="20"/>
    </row>
    <row r="16" spans="1:34" x14ac:dyDescent="0.45">
      <c r="A16" s="323"/>
      <c r="B16" s="1" t="s">
        <v>15</v>
      </c>
      <c r="C16" s="81"/>
      <c r="D16" s="3" t="s">
        <v>10</v>
      </c>
      <c r="F16" s="73" t="s">
        <v>17</v>
      </c>
      <c r="G16" s="79">
        <f>C4*P21</f>
        <v>0</v>
      </c>
      <c r="H16" s="80">
        <f>C4*W21</f>
        <v>0</v>
      </c>
      <c r="I16" s="200"/>
      <c r="J16" s="201"/>
      <c r="M16" s="15"/>
      <c r="N16" s="82">
        <f t="shared" si="0"/>
        <v>1300001</v>
      </c>
      <c r="O16" s="83">
        <v>1330000</v>
      </c>
      <c r="P16" s="84">
        <v>30000</v>
      </c>
      <c r="Q16" s="85">
        <v>20000</v>
      </c>
      <c r="R16" s="85">
        <v>10000</v>
      </c>
      <c r="S16" s="86">
        <v>0</v>
      </c>
      <c r="T16" s="18"/>
      <c r="V16" s="19"/>
      <c r="W16" s="82">
        <v>0</v>
      </c>
      <c r="X16" s="87">
        <v>0</v>
      </c>
      <c r="Y16" s="87">
        <v>0</v>
      </c>
      <c r="Z16" s="88">
        <v>0</v>
      </c>
      <c r="AA16" s="20"/>
    </row>
    <row r="17" spans="1:27" x14ac:dyDescent="0.45">
      <c r="A17" s="323"/>
      <c r="B17" s="1" t="s">
        <v>17</v>
      </c>
      <c r="C17" s="81"/>
      <c r="D17" s="3" t="s">
        <v>10</v>
      </c>
      <c r="F17" s="78" t="s">
        <v>18</v>
      </c>
      <c r="G17" s="79">
        <f>C5*P22</f>
        <v>0</v>
      </c>
      <c r="H17" s="80">
        <f>C5*W22</f>
        <v>0</v>
      </c>
      <c r="I17" s="200"/>
      <c r="J17" s="201"/>
      <c r="M17" s="15"/>
      <c r="T17" s="18"/>
      <c r="V17" s="19"/>
      <c r="AA17" s="20"/>
    </row>
    <row r="18" spans="1:27" x14ac:dyDescent="0.45">
      <c r="A18" s="323"/>
      <c r="B18" s="1"/>
      <c r="C18" s="81"/>
      <c r="D18" s="3"/>
      <c r="F18" s="78" t="s">
        <v>106</v>
      </c>
      <c r="G18" s="79">
        <f>ふるさと納税自己負担計算シート!F15</f>
        <v>0</v>
      </c>
      <c r="H18" s="80">
        <f>ふるさと納税自己負担計算シート!F16</f>
        <v>0</v>
      </c>
      <c r="I18" s="200"/>
      <c r="J18" s="201"/>
      <c r="M18" s="15"/>
      <c r="T18" s="18"/>
      <c r="V18" s="19"/>
      <c r="AA18" s="20"/>
    </row>
    <row r="19" spans="1:27" x14ac:dyDescent="0.45">
      <c r="A19" s="323"/>
      <c r="B19" s="1" t="s">
        <v>18</v>
      </c>
      <c r="C19" s="81"/>
      <c r="D19" s="3" t="s">
        <v>10</v>
      </c>
      <c r="F19" s="73" t="s">
        <v>30</v>
      </c>
      <c r="G19" s="74">
        <f>IF(ふるさと納税自己負担計算シート!F10="",IF(C1&lt;=130,0,C1*R20),ふるさと納税自己負担計算シート!F10)</f>
        <v>500000</v>
      </c>
      <c r="H19" s="75">
        <f>G19</f>
        <v>500000</v>
      </c>
      <c r="I19" s="204"/>
      <c r="J19" s="203"/>
      <c r="K19" s="89" t="str">
        <f>"※社保料"&amp;TEXT(R20,"0%")</f>
        <v>※社保料15%</v>
      </c>
      <c r="M19" s="15"/>
      <c r="N19" s="4" t="s">
        <v>31</v>
      </c>
      <c r="R19" s="17" t="s">
        <v>32</v>
      </c>
      <c r="T19" s="18"/>
      <c r="V19" s="19"/>
      <c r="Z19" s="4"/>
      <c r="AA19" s="20"/>
    </row>
    <row r="20" spans="1:27" x14ac:dyDescent="0.45">
      <c r="A20" s="323"/>
      <c r="B20" s="39" t="s">
        <v>19</v>
      </c>
      <c r="C20" s="40">
        <f ca="1">SUM(K2:K7)</f>
        <v>0</v>
      </c>
      <c r="D20" s="2"/>
      <c r="F20" s="73" t="s">
        <v>85</v>
      </c>
      <c r="G20" s="74">
        <f>ふるさと納税自己負担計算シート!F9</f>
        <v>0</v>
      </c>
      <c r="H20" s="75">
        <f>G20</f>
        <v>0</v>
      </c>
      <c r="I20" s="204"/>
      <c r="J20" s="203"/>
      <c r="M20" s="15"/>
      <c r="N20" s="325" t="s">
        <v>34</v>
      </c>
      <c r="O20" s="326"/>
      <c r="P20" s="49">
        <v>380000</v>
      </c>
      <c r="R20" s="90">
        <v>0.15</v>
      </c>
      <c r="T20" s="18"/>
      <c r="V20" s="19"/>
      <c r="W20" s="91">
        <v>330000</v>
      </c>
      <c r="Z20" s="4"/>
      <c r="AA20" s="20"/>
    </row>
    <row r="21" spans="1:27" x14ac:dyDescent="0.45">
      <c r="A21" s="323"/>
      <c r="B21" s="39" t="s">
        <v>20</v>
      </c>
      <c r="C21" s="2">
        <f ca="1">ROUNDDOWN(C14-C20,-3)</f>
        <v>0</v>
      </c>
      <c r="D21" s="2"/>
      <c r="F21" s="73" t="s">
        <v>33</v>
      </c>
      <c r="G21" s="74">
        <f>ふるさと納税自己負担計算シート!F12</f>
        <v>50000</v>
      </c>
      <c r="H21" s="75">
        <f>IF(G21=120000,70000,G21*0.7)</f>
        <v>35000</v>
      </c>
      <c r="I21" s="199"/>
      <c r="J21" s="203"/>
      <c r="M21" s="15"/>
      <c r="N21" s="327" t="s">
        <v>36</v>
      </c>
      <c r="O21" s="328"/>
      <c r="P21" s="58">
        <v>630000</v>
      </c>
      <c r="T21" s="18"/>
      <c r="V21" s="19"/>
      <c r="W21" s="95">
        <v>450000</v>
      </c>
      <c r="Z21" s="4"/>
      <c r="AA21" s="20"/>
    </row>
    <row r="22" spans="1:27" x14ac:dyDescent="0.45">
      <c r="A22" s="323"/>
      <c r="B22" s="39"/>
      <c r="C22" s="45" t="s">
        <v>7</v>
      </c>
      <c r="D22" s="46" t="s">
        <v>1</v>
      </c>
      <c r="F22" s="73" t="s">
        <v>95</v>
      </c>
      <c r="G22" s="74">
        <f>ふるさと納税自己負担計算シート!F11</f>
        <v>100000</v>
      </c>
      <c r="H22" s="75">
        <f>G22</f>
        <v>100000</v>
      </c>
      <c r="I22" s="199"/>
      <c r="J22" s="203"/>
      <c r="M22" s="15"/>
      <c r="N22" s="329" t="s">
        <v>37</v>
      </c>
      <c r="O22" s="330"/>
      <c r="P22" s="83">
        <v>580000</v>
      </c>
      <c r="T22" s="18"/>
      <c r="V22" s="19"/>
      <c r="W22" s="96">
        <v>450000</v>
      </c>
      <c r="Z22" s="4"/>
      <c r="AA22" s="20"/>
    </row>
    <row r="23" spans="1:27" x14ac:dyDescent="0.45">
      <c r="A23" s="323"/>
      <c r="B23" s="39" t="s">
        <v>22</v>
      </c>
      <c r="C23" s="55">
        <f>SUM(I12:I23)</f>
        <v>0</v>
      </c>
      <c r="D23" s="56">
        <f>SUM(J12:J23)</f>
        <v>0</v>
      </c>
      <c r="F23" s="92" t="s">
        <v>35</v>
      </c>
      <c r="G23" s="93">
        <f>ふるさと納税自己負担計算シート!F13</f>
        <v>50000</v>
      </c>
      <c r="H23" s="94">
        <f>G23/2</f>
        <v>25000</v>
      </c>
      <c r="I23" s="205"/>
      <c r="J23" s="206"/>
      <c r="M23" s="15"/>
      <c r="T23" s="18"/>
      <c r="V23" s="19"/>
      <c r="Z23" s="4"/>
      <c r="AA23" s="20"/>
    </row>
    <row r="24" spans="1:27" x14ac:dyDescent="0.45">
      <c r="A24" s="323"/>
      <c r="B24" s="39" t="s">
        <v>24</v>
      </c>
      <c r="C24" s="55">
        <f ca="1">IF((C21-C23)&lt;0,0,C21-C23)</f>
        <v>0</v>
      </c>
      <c r="D24" s="56">
        <f ca="1">IF((C21-D23)&lt;0,0,C21-D23)</f>
        <v>0</v>
      </c>
      <c r="M24" s="15"/>
      <c r="N24" s="164" t="s">
        <v>39</v>
      </c>
      <c r="O24" s="164"/>
      <c r="P24" s="163">
        <v>120000</v>
      </c>
      <c r="Q24" s="320" t="s">
        <v>40</v>
      </c>
      <c r="R24" s="321"/>
      <c r="S24" s="165"/>
      <c r="T24" s="18"/>
      <c r="V24" s="19"/>
      <c r="W24" s="163">
        <v>56000</v>
      </c>
      <c r="X24" s="320" t="s">
        <v>41</v>
      </c>
      <c r="Y24" s="321"/>
      <c r="Z24" s="164"/>
      <c r="AA24" s="20"/>
    </row>
    <row r="25" spans="1:27" x14ac:dyDescent="0.45">
      <c r="A25" s="323"/>
      <c r="B25" s="39" t="s">
        <v>25</v>
      </c>
      <c r="C25" s="55">
        <f ca="1">ROUNDDOWN(SUM(K27:K33),-3)</f>
        <v>0</v>
      </c>
      <c r="D25" s="56">
        <f ca="1">ROUNDDOWN(D24*10%,-3)</f>
        <v>0</v>
      </c>
      <c r="F25" s="331" t="s">
        <v>38</v>
      </c>
      <c r="G25" s="331"/>
      <c r="H25" s="332">
        <v>44951</v>
      </c>
      <c r="I25" s="332"/>
      <c r="J25" s="310" t="s">
        <v>65</v>
      </c>
      <c r="K25" s="312"/>
      <c r="M25" s="15"/>
      <c r="N25" s="164"/>
      <c r="O25" s="164"/>
      <c r="P25" s="165"/>
      <c r="Q25" s="165"/>
      <c r="R25" s="165"/>
      <c r="S25" s="166" t="s">
        <v>75</v>
      </c>
      <c r="T25" s="18"/>
      <c r="V25" s="19"/>
      <c r="W25" s="165"/>
      <c r="X25" s="165"/>
      <c r="Y25" s="165"/>
      <c r="Z25" s="166" t="s">
        <v>75</v>
      </c>
      <c r="AA25" s="20"/>
    </row>
    <row r="26" spans="1:27" x14ac:dyDescent="0.45">
      <c r="A26" s="324"/>
      <c r="B26" s="39" t="s">
        <v>26</v>
      </c>
      <c r="C26" s="71">
        <f ca="1">C14-C25-D25-I19</f>
        <v>0</v>
      </c>
      <c r="D26" s="72"/>
      <c r="F26" s="97"/>
      <c r="G26" s="98">
        <v>1950000</v>
      </c>
      <c r="H26" s="99">
        <v>0.05</v>
      </c>
      <c r="I26" s="100"/>
      <c r="J26" s="167" t="s">
        <v>3</v>
      </c>
      <c r="K26" s="167" t="s">
        <v>28</v>
      </c>
      <c r="M26" s="15"/>
      <c r="N26" s="164" t="s">
        <v>42</v>
      </c>
      <c r="O26" s="164"/>
      <c r="P26" s="163">
        <v>50000</v>
      </c>
      <c r="Q26" s="320" t="s">
        <v>43</v>
      </c>
      <c r="R26" s="321"/>
      <c r="S26" s="165"/>
      <c r="T26" s="18"/>
      <c r="V26" s="19"/>
      <c r="W26" s="163">
        <v>12500</v>
      </c>
      <c r="X26" s="320" t="s">
        <v>44</v>
      </c>
      <c r="Y26" s="321"/>
      <c r="Z26" s="164"/>
      <c r="AA26" s="20"/>
    </row>
    <row r="27" spans="1:27" ht="15.6" thickBot="1" x14ac:dyDescent="0.5">
      <c r="C27" s="4"/>
      <c r="F27" s="97">
        <f t="shared" ref="F27:F32" si="3">G26+1</f>
        <v>1950001</v>
      </c>
      <c r="G27" s="98">
        <v>3300000</v>
      </c>
      <c r="H27" s="101">
        <v>0.1</v>
      </c>
      <c r="I27" s="14"/>
      <c r="J27" s="170">
        <f ca="1">IF($C$10&lt;1,0,IF($C$10&gt;G26,G26*H26,$C$10*H26))</f>
        <v>0</v>
      </c>
      <c r="K27" s="170">
        <f ca="1">IF($C$24&lt;1,0,IF($C$24&gt;G26,G26*H26,$C$24*H26))</f>
        <v>0</v>
      </c>
      <c r="M27" s="103"/>
      <c r="N27" s="104"/>
      <c r="O27" s="104"/>
      <c r="P27" s="105"/>
      <c r="Q27" s="105"/>
      <c r="R27" s="105"/>
      <c r="S27" s="105"/>
      <c r="T27" s="106"/>
      <c r="V27" s="107"/>
      <c r="W27" s="108"/>
      <c r="X27" s="108"/>
      <c r="Y27" s="108"/>
      <c r="Z27" s="109"/>
      <c r="AA27" s="110"/>
    </row>
    <row r="28" spans="1:27" x14ac:dyDescent="0.45">
      <c r="C28" s="4"/>
      <c r="F28" s="102">
        <f t="shared" si="3"/>
        <v>3300001</v>
      </c>
      <c r="G28" s="98">
        <v>6950000</v>
      </c>
      <c r="H28" s="101">
        <v>0.2</v>
      </c>
      <c r="I28" s="14"/>
      <c r="J28" s="168">
        <f ca="1">IF($C$10&lt;F27,0,IF(AND($C$10&gt;F27,$C$10&lt;G27),($C$10-F27)*H27,(G27-F27)*H27))</f>
        <v>0</v>
      </c>
      <c r="K28" s="168">
        <f ca="1">IF($C$24&lt;F27,0,IF(AND($C$24&gt;F27,$C$24&lt;G27),($C$24-F27)*H27,(G27-F27)*H27))</f>
        <v>0</v>
      </c>
      <c r="N28" s="4" t="s">
        <v>82</v>
      </c>
    </row>
    <row r="29" spans="1:27" x14ac:dyDescent="0.45">
      <c r="C29" s="4"/>
      <c r="F29" s="102">
        <f t="shared" si="3"/>
        <v>6950001</v>
      </c>
      <c r="G29" s="98">
        <v>9000000</v>
      </c>
      <c r="H29" s="101">
        <v>0.23</v>
      </c>
      <c r="I29" s="14"/>
      <c r="J29" s="168">
        <f ca="1">IF($C$10&lt;F28,0,IF(AND($C$10&gt;F28,$C$10&lt;G28),($C$10-F28)*H28,(G28-F28)*H28))</f>
        <v>0</v>
      </c>
      <c r="K29" s="168">
        <f ca="1">IF($C$24&lt;F28,0,IF(AND($C$24&gt;F28,$C$24&lt;G28),($C$24-F28)*H28,(G28-F28)*H28))</f>
        <v>0</v>
      </c>
    </row>
    <row r="30" spans="1:27" x14ac:dyDescent="0.45">
      <c r="C30" s="4"/>
      <c r="F30" s="102">
        <f t="shared" si="3"/>
        <v>9000001</v>
      </c>
      <c r="G30" s="98">
        <v>18000000</v>
      </c>
      <c r="H30" s="101">
        <v>0.33</v>
      </c>
      <c r="I30" s="14"/>
      <c r="J30" s="168">
        <f ca="1">IF($C$10&lt;F29,0,IF(AND($C$10&gt;F29,$C$10&lt;G29),($C$10-F29)*H29,(G29-F29)*H29))</f>
        <v>0</v>
      </c>
      <c r="K30" s="168">
        <f ca="1">IF($C$24&lt;F29,0,IF(AND($C$24&gt;F29,$C$24&lt;G29),($C$24-F29)*H29,(G29-F29)*H29))</f>
        <v>0</v>
      </c>
    </row>
    <row r="31" spans="1:27" x14ac:dyDescent="0.45">
      <c r="B31" s="211" t="s">
        <v>101</v>
      </c>
      <c r="C31" s="4"/>
      <c r="F31" s="102">
        <f t="shared" si="3"/>
        <v>18000001</v>
      </c>
      <c r="G31" s="111">
        <v>40000000</v>
      </c>
      <c r="H31" s="101">
        <v>0.4</v>
      </c>
      <c r="I31" s="14"/>
      <c r="J31" s="168">
        <f ca="1">IF($C$10&lt;F30,0,IF(AND($C$10&gt;F30,$C$10&lt;G30),($C$10-F30)*H30,(G30-F30)*H30))</f>
        <v>0</v>
      </c>
      <c r="K31" s="168">
        <f ca="1">IF($C$24&lt;F30,0,IF(AND($C$24&gt;F30,$C$24&lt;G30),($C$24-F30)*H30,(G30-F30)*H30))</f>
        <v>0</v>
      </c>
    </row>
    <row r="32" spans="1:27" x14ac:dyDescent="0.45">
      <c r="B32" s="212">
        <v>0</v>
      </c>
      <c r="D32" s="4"/>
      <c r="F32" s="102">
        <f t="shared" si="3"/>
        <v>40000001</v>
      </c>
      <c r="G32" s="111"/>
      <c r="H32" s="101">
        <v>0.45</v>
      </c>
      <c r="I32" s="14"/>
      <c r="J32" s="168">
        <f ca="1">IF($C$10&lt;F31,0,IF(AND($C$10&gt;F31,$C$10&lt;G31),($C$10-F31)*H31,(G31-F31)*H31))</f>
        <v>0</v>
      </c>
      <c r="K32" s="168">
        <f ca="1">IF($C$24&lt;F31,0,IF(AND($C$24&gt;F31,$C$24&lt;G31),($C$24-F31)*H31,(G31-F31)*H31))</f>
        <v>0</v>
      </c>
    </row>
    <row r="33" spans="1:26" ht="18" customHeight="1" x14ac:dyDescent="0.45">
      <c r="J33" s="169">
        <f ca="1">IF($C$10&lt;F32,0,($C$10-F32)*H32)</f>
        <v>0</v>
      </c>
      <c r="K33" s="169">
        <f ca="1">IF($C$24&lt;F32,0,($C$24-F32)*H32)</f>
        <v>0</v>
      </c>
    </row>
    <row r="34" spans="1:26" x14ac:dyDescent="0.45">
      <c r="A34" s="310" t="s">
        <v>66</v>
      </c>
      <c r="B34" s="311"/>
      <c r="C34" s="311"/>
      <c r="D34" s="311"/>
      <c r="E34" s="312"/>
      <c r="F34" s="17"/>
      <c r="G34" s="310" t="s">
        <v>76</v>
      </c>
      <c r="H34" s="312"/>
      <c r="I34" s="4"/>
      <c r="J34" s="4"/>
      <c r="M34" s="17"/>
      <c r="P34" s="4"/>
      <c r="Q34" s="4"/>
      <c r="R34" s="4"/>
      <c r="S34" s="4"/>
      <c r="W34" s="4"/>
      <c r="X34" s="4"/>
      <c r="Y34" s="4"/>
      <c r="Z34" s="4"/>
    </row>
    <row r="35" spans="1:26" x14ac:dyDescent="0.45">
      <c r="A35" s="308" t="s">
        <v>47</v>
      </c>
      <c r="B35" s="309"/>
      <c r="C35" s="124">
        <f>ふるさと納税自己負担計算シート!C25</f>
        <v>0</v>
      </c>
      <c r="D35" s="117" t="s">
        <v>50</v>
      </c>
      <c r="E35" s="117" t="s">
        <v>49</v>
      </c>
      <c r="F35" s="17"/>
      <c r="G35" s="112" t="s">
        <v>3</v>
      </c>
      <c r="H35" s="113"/>
      <c r="I35" s="4"/>
      <c r="J35" s="4"/>
      <c r="M35" s="17"/>
      <c r="N35" s="17"/>
      <c r="P35" s="4"/>
      <c r="Q35" s="4"/>
      <c r="R35" s="4"/>
      <c r="S35" s="4"/>
      <c r="W35" s="4"/>
      <c r="X35" s="4"/>
      <c r="Y35" s="4"/>
      <c r="Z35" s="4"/>
    </row>
    <row r="36" spans="1:26" x14ac:dyDescent="0.45">
      <c r="A36" s="293" t="s">
        <v>7</v>
      </c>
      <c r="B36" s="118" t="s">
        <v>48</v>
      </c>
      <c r="C36" s="125"/>
      <c r="D36" s="126">
        <f ca="1">C9+C35-2000</f>
        <v>1078000</v>
      </c>
      <c r="E36" s="126">
        <f ca="1">C9</f>
        <v>1080000</v>
      </c>
      <c r="F36" s="17"/>
      <c r="G36" s="100">
        <f ca="1">IF($D$37&lt;1,0,IF($D$37&gt;G26,G26*H26,$D$37*H26))</f>
        <v>0</v>
      </c>
      <c r="H36" s="114"/>
      <c r="I36" s="4"/>
      <c r="J36" s="4"/>
      <c r="P36" s="4"/>
      <c r="Q36" s="4"/>
      <c r="R36" s="4"/>
      <c r="S36" s="4"/>
      <c r="W36" s="4"/>
      <c r="X36" s="4"/>
      <c r="Y36" s="4"/>
      <c r="Z36" s="4"/>
    </row>
    <row r="37" spans="1:26" x14ac:dyDescent="0.45">
      <c r="A37" s="317"/>
      <c r="B37" s="119" t="s">
        <v>51</v>
      </c>
      <c r="C37" s="121"/>
      <c r="D37" s="122">
        <f ca="1">IF(C7-D36&lt;0,0,C7-D36)</f>
        <v>0</v>
      </c>
      <c r="E37" s="122">
        <f ca="1">IF(C7-E36&lt;0,0,C7-E36)</f>
        <v>0</v>
      </c>
      <c r="F37" s="17"/>
      <c r="G37" s="100">
        <f t="shared" ref="G37:G42" ca="1" si="4">IF($D$37&lt;F27,0,IF(AND($D$37&gt;F27,$D$37&lt;G27),($D$37-F27)*H27,(G27-F27)*H27))</f>
        <v>0</v>
      </c>
      <c r="H37" s="114"/>
      <c r="I37" s="4"/>
      <c r="J37" s="4"/>
      <c r="P37" s="4"/>
      <c r="Q37" s="4"/>
      <c r="R37" s="4"/>
      <c r="S37" s="4"/>
      <c r="W37" s="4"/>
      <c r="X37" s="4"/>
      <c r="Y37" s="4"/>
      <c r="Z37" s="4"/>
    </row>
    <row r="38" spans="1:26" x14ac:dyDescent="0.45">
      <c r="A38" s="317"/>
      <c r="B38" s="119" t="s">
        <v>55</v>
      </c>
      <c r="C38" s="123" t="str" cm="1">
        <f t="array" aca="1" ref="C38" ca="1">IF(SUM(G36:G42)=0,"",INDEX($H$26:$H$32,COUNTIFS(G36:G42,"&gt;0"),1))</f>
        <v/>
      </c>
      <c r="D38" s="122">
        <f ca="1">SUM(G36:G42)</f>
        <v>0</v>
      </c>
      <c r="E38" s="122">
        <f ca="1">C11</f>
        <v>0</v>
      </c>
      <c r="F38" s="17"/>
      <c r="G38" s="100">
        <f t="shared" ca="1" si="4"/>
        <v>0</v>
      </c>
      <c r="H38" s="114"/>
      <c r="I38" s="4"/>
      <c r="J38" s="4"/>
      <c r="P38" s="4"/>
      <c r="Q38" s="4"/>
      <c r="R38" s="4"/>
      <c r="S38" s="4"/>
      <c r="W38" s="4"/>
      <c r="X38" s="4"/>
      <c r="Y38" s="4"/>
      <c r="Z38" s="4"/>
    </row>
    <row r="39" spans="1:26" x14ac:dyDescent="0.45">
      <c r="A39" s="318"/>
      <c r="B39" s="313" t="s">
        <v>60</v>
      </c>
      <c r="C39" s="314"/>
      <c r="D39" s="131">
        <f ca="1">C11-D38</f>
        <v>0</v>
      </c>
      <c r="E39" s="131">
        <v>0</v>
      </c>
      <c r="F39" s="17"/>
      <c r="G39" s="100">
        <f t="shared" ca="1" si="4"/>
        <v>0</v>
      </c>
      <c r="H39" s="114"/>
      <c r="I39" s="4"/>
      <c r="J39" s="4"/>
      <c r="P39" s="4"/>
      <c r="Q39" s="4"/>
      <c r="R39" s="4"/>
      <c r="S39" s="4"/>
      <c r="W39" s="4"/>
      <c r="X39" s="4"/>
      <c r="Y39" s="4"/>
      <c r="Z39" s="4"/>
    </row>
    <row r="40" spans="1:26" x14ac:dyDescent="0.45">
      <c r="A40" s="293" t="s">
        <v>1</v>
      </c>
      <c r="B40" s="133"/>
      <c r="C40" s="161" t="s">
        <v>61</v>
      </c>
      <c r="D40" s="134">
        <f>(C35-2000)*10%</f>
        <v>-200</v>
      </c>
      <c r="E40" s="132">
        <f>D40</f>
        <v>-200</v>
      </c>
      <c r="F40" s="17"/>
      <c r="G40" s="100">
        <f t="shared" ca="1" si="4"/>
        <v>0</v>
      </c>
      <c r="H40" s="114"/>
      <c r="I40" s="4"/>
      <c r="J40" s="4"/>
      <c r="P40" s="4"/>
      <c r="Q40" s="4"/>
      <c r="R40" s="4"/>
      <c r="S40" s="4"/>
      <c r="W40" s="4"/>
      <c r="X40" s="4"/>
      <c r="Y40" s="4"/>
      <c r="Z40" s="4"/>
    </row>
    <row r="41" spans="1:26" x14ac:dyDescent="0.45">
      <c r="A41" s="317"/>
      <c r="B41" s="120"/>
      <c r="C41" s="158" t="s">
        <v>57</v>
      </c>
      <c r="D41" s="135">
        <f ca="1">D11*20%</f>
        <v>0</v>
      </c>
      <c r="E41" s="129">
        <f ca="1">D41</f>
        <v>0</v>
      </c>
      <c r="F41" s="130" t="s">
        <v>64</v>
      </c>
      <c r="G41" s="100">
        <f t="shared" ca="1" si="4"/>
        <v>0</v>
      </c>
      <c r="H41" s="114"/>
      <c r="I41" s="4"/>
      <c r="J41" s="4"/>
      <c r="P41" s="4"/>
      <c r="Q41" s="4"/>
      <c r="R41" s="4"/>
      <c r="S41" s="4"/>
      <c r="W41" s="4"/>
      <c r="X41" s="4"/>
      <c r="Y41" s="4"/>
      <c r="Z41" s="4"/>
    </row>
    <row r="42" spans="1:26" x14ac:dyDescent="0.45">
      <c r="A42" s="317"/>
      <c r="B42" s="120"/>
      <c r="C42" s="158" t="s">
        <v>63</v>
      </c>
      <c r="D42" s="129">
        <f ca="1">C35-2000-D39-D40</f>
        <v>-1800</v>
      </c>
      <c r="E42" s="129">
        <f>C35-2000-E39-E40</f>
        <v>-1800</v>
      </c>
      <c r="F42" s="130"/>
      <c r="G42" s="115">
        <f t="shared" ca="1" si="4"/>
        <v>0</v>
      </c>
      <c r="H42" s="116"/>
      <c r="I42" s="4"/>
      <c r="J42" s="4"/>
      <c r="P42" s="4"/>
      <c r="Q42" s="4"/>
      <c r="R42" s="4"/>
      <c r="S42" s="4"/>
      <c r="W42" s="4"/>
      <c r="X42" s="4"/>
      <c r="Y42" s="4"/>
      <c r="Z42" s="4"/>
    </row>
    <row r="43" spans="1:26" x14ac:dyDescent="0.45">
      <c r="A43" s="317"/>
      <c r="B43" s="120"/>
      <c r="C43" s="162" t="s">
        <v>56</v>
      </c>
      <c r="D43" s="136">
        <f ca="1">MIN(D41,D42)</f>
        <v>-1800</v>
      </c>
      <c r="E43" s="136">
        <f ca="1">MIN(E41,E42)</f>
        <v>-1800</v>
      </c>
      <c r="F43" s="17"/>
      <c r="G43" s="4"/>
      <c r="H43" s="4"/>
      <c r="I43" s="4"/>
      <c r="J43" s="4"/>
      <c r="P43" s="4"/>
      <c r="Q43" s="4"/>
      <c r="R43" s="4"/>
      <c r="S43" s="4"/>
      <c r="W43" s="4"/>
      <c r="X43" s="4"/>
      <c r="Y43" s="4"/>
      <c r="Z43" s="4"/>
    </row>
    <row r="44" spans="1:26" x14ac:dyDescent="0.45">
      <c r="A44" s="319"/>
      <c r="B44" s="185"/>
      <c r="C44" s="186" t="s">
        <v>91</v>
      </c>
      <c r="D44" s="188"/>
      <c r="E44" s="187" t="e">
        <f ca="1">(E43*C38)/(100%-10%-C38)</f>
        <v>#VALUE!</v>
      </c>
      <c r="F44" s="288" t="s">
        <v>92</v>
      </c>
      <c r="G44" s="289"/>
      <c r="H44" s="289"/>
      <c r="I44" s="4"/>
      <c r="J44" s="4"/>
      <c r="P44" s="4"/>
      <c r="Q44" s="4"/>
      <c r="R44" s="4"/>
      <c r="S44" s="4"/>
      <c r="W44" s="4"/>
      <c r="X44" s="4"/>
      <c r="Y44" s="4"/>
      <c r="Z44" s="4"/>
    </row>
    <row r="45" spans="1:26" x14ac:dyDescent="0.45">
      <c r="A45" s="318"/>
      <c r="B45" s="315" t="s">
        <v>59</v>
      </c>
      <c r="C45" s="316"/>
      <c r="D45" s="127">
        <f ca="1">D40+D43</f>
        <v>-2000</v>
      </c>
      <c r="E45" s="127" t="e">
        <f ca="1">E40+E43+E44</f>
        <v>#VALUE!</v>
      </c>
      <c r="F45" s="17"/>
      <c r="G45" s="4"/>
      <c r="H45" s="4"/>
      <c r="I45" s="4"/>
      <c r="J45" s="4"/>
      <c r="P45" s="4"/>
      <c r="Q45" s="4"/>
      <c r="R45" s="4"/>
      <c r="S45" s="4"/>
      <c r="W45" s="4"/>
      <c r="X45" s="4"/>
      <c r="Y45" s="4"/>
      <c r="Z45" s="4"/>
    </row>
    <row r="46" spans="1:26" x14ac:dyDescent="0.45">
      <c r="A46" s="297" t="s">
        <v>58</v>
      </c>
      <c r="B46" s="298"/>
      <c r="C46" s="299"/>
      <c r="D46" s="128">
        <f ca="1">$C$35-D39-D45</f>
        <v>2000</v>
      </c>
      <c r="E46" s="128" t="e">
        <f ca="1">IF($C$35-E39-E45&lt;2000,2000,$C$35-E39-E45)</f>
        <v>#VALUE!</v>
      </c>
      <c r="F46" s="17"/>
      <c r="G46" s="4"/>
      <c r="H46" s="4"/>
      <c r="I46" s="4"/>
      <c r="K46" s="17"/>
      <c r="L46" s="17"/>
      <c r="M46" s="17"/>
      <c r="N46" s="17"/>
      <c r="P46" s="4"/>
      <c r="Q46" s="4"/>
      <c r="R46" s="4"/>
      <c r="S46" s="4"/>
      <c r="W46" s="4"/>
      <c r="X46" s="4"/>
      <c r="Y46" s="4"/>
      <c r="Z46" s="4"/>
    </row>
    <row r="47" spans="1:26" x14ac:dyDescent="0.45">
      <c r="A47" s="17"/>
      <c r="B47" s="17"/>
      <c r="C47" s="4"/>
      <c r="D47" s="17"/>
      <c r="E47" s="17"/>
      <c r="F47" s="17"/>
      <c r="G47" s="4"/>
      <c r="H47" s="4"/>
      <c r="I47" s="4"/>
      <c r="J47" s="4"/>
      <c r="K47" s="17"/>
      <c r="L47" s="17"/>
      <c r="M47" s="17"/>
      <c r="N47" s="17"/>
      <c r="P47" s="4"/>
      <c r="Q47" s="4"/>
      <c r="R47" s="4"/>
      <c r="S47" s="4"/>
      <c r="W47" s="4"/>
      <c r="X47" s="4"/>
      <c r="Y47" s="4"/>
      <c r="Z47" s="4"/>
    </row>
    <row r="48" spans="1:26" ht="18" customHeight="1" x14ac:dyDescent="0.45">
      <c r="A48" s="290" t="s">
        <v>67</v>
      </c>
      <c r="B48" s="291"/>
      <c r="C48" s="291"/>
      <c r="D48" s="291"/>
      <c r="E48" s="292"/>
      <c r="F48" s="17"/>
      <c r="G48" s="4" t="s">
        <v>77</v>
      </c>
      <c r="H48" s="4"/>
      <c r="I48" s="4"/>
      <c r="J48" s="4" t="s">
        <v>131</v>
      </c>
      <c r="K48" s="76"/>
      <c r="L48" s="17"/>
      <c r="M48" s="17"/>
      <c r="N48" s="17"/>
      <c r="P48" s="4"/>
      <c r="Q48" s="4"/>
      <c r="R48" s="4"/>
      <c r="S48" s="4"/>
      <c r="W48" s="4"/>
      <c r="X48" s="4"/>
      <c r="Y48" s="4"/>
      <c r="Z48" s="4"/>
    </row>
    <row r="49" spans="1:26" ht="18" customHeight="1" x14ac:dyDescent="0.45">
      <c r="A49" s="293" t="s">
        <v>45</v>
      </c>
      <c r="B49" s="294"/>
      <c r="C49" s="140">
        <f>ふるさと納税自己負担計算シート!C20</f>
        <v>0</v>
      </c>
      <c r="D49" s="295" t="s">
        <v>69</v>
      </c>
      <c r="E49" s="296"/>
      <c r="F49" s="17"/>
      <c r="G49" s="4" t="s">
        <v>78</v>
      </c>
      <c r="H49" s="171">
        <f ca="1">C10-C35+2000</f>
        <v>2000</v>
      </c>
      <c r="I49" s="4"/>
      <c r="J49" s="372" t="s">
        <v>136</v>
      </c>
      <c r="K49" s="372"/>
      <c r="L49" s="379">
        <v>0</v>
      </c>
      <c r="M49" s="17"/>
      <c r="N49" s="17"/>
      <c r="P49" s="4"/>
      <c r="Q49" s="4"/>
      <c r="R49" s="4"/>
      <c r="S49" s="4"/>
      <c r="W49" s="4"/>
      <c r="X49" s="4"/>
      <c r="Y49" s="4"/>
      <c r="Z49" s="4"/>
    </row>
    <row r="50" spans="1:26" ht="18" customHeight="1" x14ac:dyDescent="0.45">
      <c r="A50" s="300" t="s">
        <v>68</v>
      </c>
      <c r="B50" s="301"/>
      <c r="C50" s="141">
        <f>C49*G55</f>
        <v>0</v>
      </c>
      <c r="D50" s="142" t="s">
        <v>50</v>
      </c>
      <c r="E50" s="143" t="s">
        <v>49</v>
      </c>
      <c r="F50" s="17"/>
      <c r="G50" s="4" t="s">
        <v>79</v>
      </c>
      <c r="H50" s="76">
        <f ca="1">97500+(H49-1950000)*10%</f>
        <v>-97300</v>
      </c>
      <c r="I50" s="4"/>
      <c r="J50" s="372" t="s">
        <v>137</v>
      </c>
      <c r="K50" s="372"/>
      <c r="L50" s="379">
        <v>0.05</v>
      </c>
      <c r="M50" s="17"/>
      <c r="N50" s="17"/>
      <c r="P50" s="4"/>
      <c r="Q50" s="4"/>
      <c r="R50" s="4"/>
      <c r="S50" s="4"/>
      <c r="W50" s="4"/>
      <c r="X50" s="4"/>
      <c r="Y50" s="4"/>
      <c r="Z50" s="4"/>
    </row>
    <row r="51" spans="1:26" x14ac:dyDescent="0.45">
      <c r="A51" s="144" t="s">
        <v>7</v>
      </c>
      <c r="B51" s="145"/>
      <c r="C51" s="156" t="s">
        <v>70</v>
      </c>
      <c r="D51" s="146">
        <f ca="1">ROUNDDOWN(MIN(D38,C50),-2)</f>
        <v>0</v>
      </c>
      <c r="E51" s="147">
        <f ca="1">ROUNDDOWN(MIN(E38,C50),-2)</f>
        <v>0</v>
      </c>
      <c r="G51" s="4" t="s">
        <v>80</v>
      </c>
      <c r="H51" s="171">
        <f ca="1">D10</f>
        <v>0</v>
      </c>
      <c r="I51" s="4"/>
      <c r="J51" s="372" t="s">
        <v>138</v>
      </c>
      <c r="K51" s="372"/>
      <c r="L51" s="379">
        <v>0.1</v>
      </c>
      <c r="M51" s="17"/>
      <c r="N51" s="17"/>
      <c r="P51" s="4"/>
      <c r="Q51" s="4"/>
      <c r="R51" s="4"/>
      <c r="S51" s="4"/>
      <c r="W51" s="4"/>
      <c r="X51" s="4"/>
      <c r="Y51" s="4"/>
      <c r="Z51" s="4"/>
    </row>
    <row r="52" spans="1:26" x14ac:dyDescent="0.45">
      <c r="A52" s="305" t="s">
        <v>1</v>
      </c>
      <c r="B52" s="150"/>
      <c r="C52" s="157" t="s">
        <v>54</v>
      </c>
      <c r="D52" s="151">
        <f ca="1">D37*5%</f>
        <v>0</v>
      </c>
      <c r="E52" s="152">
        <f ca="1">E37*5%</f>
        <v>0</v>
      </c>
      <c r="G52" s="4"/>
      <c r="H52" s="4"/>
      <c r="I52" s="4"/>
      <c r="J52" s="372" t="s">
        <v>139</v>
      </c>
      <c r="K52" s="372"/>
      <c r="L52" s="379">
        <v>0.15</v>
      </c>
      <c r="M52" s="17"/>
      <c r="N52" s="17"/>
      <c r="P52" s="4"/>
      <c r="Q52" s="4"/>
      <c r="R52" s="4"/>
      <c r="S52" s="4"/>
      <c r="W52" s="4"/>
      <c r="X52" s="4"/>
      <c r="Y52" s="4"/>
      <c r="Z52" s="4"/>
    </row>
    <row r="53" spans="1:26" x14ac:dyDescent="0.45">
      <c r="A53" s="306"/>
      <c r="B53" s="137"/>
      <c r="C53" s="158" t="s">
        <v>120</v>
      </c>
      <c r="D53" s="139">
        <f>IF(C50&gt;0,H55,0)</f>
        <v>0</v>
      </c>
      <c r="E53" s="138">
        <f>D53</f>
        <v>0</v>
      </c>
      <c r="F53" s="17"/>
      <c r="G53" s="225">
        <v>0.01</v>
      </c>
      <c r="H53" s="4">
        <v>137500</v>
      </c>
      <c r="I53" s="4"/>
      <c r="J53" s="372" t="s">
        <v>140</v>
      </c>
      <c r="K53" s="372"/>
      <c r="L53" s="379">
        <v>0.2</v>
      </c>
      <c r="M53" s="17"/>
      <c r="N53" s="17"/>
      <c r="P53" s="4"/>
      <c r="Q53" s="4"/>
      <c r="R53" s="4"/>
      <c r="S53" s="4"/>
      <c r="W53" s="4"/>
      <c r="X53" s="4"/>
      <c r="Y53" s="4"/>
      <c r="Z53" s="4"/>
    </row>
    <row r="54" spans="1:26" x14ac:dyDescent="0.45">
      <c r="A54" s="306"/>
      <c r="B54" s="137"/>
      <c r="C54" s="158" t="s">
        <v>121</v>
      </c>
      <c r="D54" s="139">
        <f ca="1">IF($C$50-D51&lt;0,0,$C$50-D51)</f>
        <v>0</v>
      </c>
      <c r="E54" s="138">
        <f ca="1">IF($C$50-E51&lt;0,0,$C$50-E51)</f>
        <v>0</v>
      </c>
      <c r="F54" s="17"/>
      <c r="G54" s="225">
        <v>7.0000000000000001E-3</v>
      </c>
      <c r="H54" s="4">
        <v>97500</v>
      </c>
      <c r="I54" s="4"/>
      <c r="J54" s="372" t="s">
        <v>141</v>
      </c>
      <c r="K54" s="372"/>
      <c r="L54" s="379">
        <v>0.25</v>
      </c>
      <c r="M54" s="17"/>
      <c r="N54" s="17"/>
      <c r="P54" s="4"/>
      <c r="Q54" s="4"/>
      <c r="R54" s="4"/>
      <c r="S54" s="4"/>
      <c r="W54" s="4"/>
      <c r="X54" s="4"/>
      <c r="Y54" s="4"/>
      <c r="Z54" s="4"/>
    </row>
    <row r="55" spans="1:26" x14ac:dyDescent="0.45">
      <c r="A55" s="306"/>
      <c r="B55" s="137"/>
      <c r="C55" s="159" t="s">
        <v>71</v>
      </c>
      <c r="D55" s="139">
        <f ca="1">D11-D43</f>
        <v>1800</v>
      </c>
      <c r="E55" s="138">
        <f ca="1">D11-E43</f>
        <v>1800</v>
      </c>
      <c r="F55" s="17"/>
      <c r="G55" s="224">
        <f>ふるさと納税自己負担計算シート!H20</f>
        <v>7.0000000000000001E-3</v>
      </c>
      <c r="H55" s="47">
        <f>VLOOKUP(G55,G53:H54,2,FALSE)</f>
        <v>97500</v>
      </c>
      <c r="I55" s="4"/>
      <c r="J55" s="372" t="s">
        <v>135</v>
      </c>
      <c r="K55" s="372"/>
      <c r="L55" s="379">
        <v>0.3</v>
      </c>
      <c r="M55" s="17"/>
      <c r="N55" s="17"/>
      <c r="P55" s="4"/>
      <c r="Q55" s="4"/>
      <c r="R55" s="4"/>
      <c r="S55" s="4"/>
      <c r="W55" s="4"/>
      <c r="X55" s="4"/>
      <c r="Y55" s="4"/>
      <c r="Z55" s="4"/>
    </row>
    <row r="56" spans="1:26" x14ac:dyDescent="0.45">
      <c r="A56" s="307"/>
      <c r="B56" s="153"/>
      <c r="C56" s="160" t="s">
        <v>46</v>
      </c>
      <c r="D56" s="154">
        <f ca="1">MIN(D52:D55)</f>
        <v>0</v>
      </c>
      <c r="E56" s="155">
        <f ca="1">MIN(E52:E55)</f>
        <v>0</v>
      </c>
      <c r="F56" s="17"/>
      <c r="G56" s="4"/>
      <c r="H56" s="4"/>
      <c r="J56" s="372" t="s">
        <v>132</v>
      </c>
      <c r="K56" s="372"/>
      <c r="L56" s="380">
        <f>VLOOKUP(ふるさと納税自己負担計算シート!B36,'ふるさと納税最適額計算（非表示）'!J49:L55,3,FALSE)</f>
        <v>0.3</v>
      </c>
      <c r="M56" s="17"/>
      <c r="N56" s="17"/>
      <c r="P56" s="4"/>
      <c r="Q56" s="4"/>
      <c r="R56" s="4"/>
      <c r="S56" s="4"/>
      <c r="W56" s="4"/>
      <c r="X56" s="4"/>
      <c r="Y56" s="4"/>
      <c r="Z56" s="4"/>
    </row>
    <row r="57" spans="1:26" x14ac:dyDescent="0.45">
      <c r="A57" s="302" t="s">
        <v>53</v>
      </c>
      <c r="B57" s="303"/>
      <c r="C57" s="304"/>
      <c r="D57" s="148">
        <f ca="1">D51+D56</f>
        <v>0</v>
      </c>
      <c r="E57" s="149">
        <f ca="1">E51+E56</f>
        <v>0</v>
      </c>
      <c r="J57" s="372"/>
      <c r="K57" s="372"/>
    </row>
    <row r="58" spans="1:26" ht="18" x14ac:dyDescent="0.45">
      <c r="C58"/>
      <c r="D58"/>
      <c r="J58" s="372"/>
      <c r="K58" s="372"/>
    </row>
    <row r="59" spans="1:26" x14ac:dyDescent="0.45">
      <c r="G59" s="4"/>
      <c r="H59" s="4"/>
      <c r="I59" s="4"/>
      <c r="J59" s="4"/>
    </row>
    <row r="60" spans="1:26" x14ac:dyDescent="0.45">
      <c r="G60" s="4"/>
      <c r="H60" s="4"/>
      <c r="I60" s="4"/>
      <c r="J60" s="4"/>
    </row>
    <row r="61" spans="1:26" x14ac:dyDescent="0.45">
      <c r="G61" s="4"/>
      <c r="H61" s="4"/>
      <c r="I61" s="4"/>
      <c r="J61" s="4"/>
    </row>
    <row r="62" spans="1:26" x14ac:dyDescent="0.45">
      <c r="G62" s="4"/>
      <c r="H62" s="4"/>
      <c r="I62" s="4"/>
      <c r="J62" s="4"/>
    </row>
    <row r="63" spans="1:26" x14ac:dyDescent="0.45">
      <c r="G63" s="4"/>
      <c r="H63" s="4"/>
      <c r="I63" s="4"/>
      <c r="J63" s="4"/>
    </row>
    <row r="64" spans="1:26" x14ac:dyDescent="0.45">
      <c r="G64" s="4"/>
      <c r="H64" s="4"/>
      <c r="I64" s="4"/>
      <c r="J64" s="4"/>
    </row>
  </sheetData>
  <mergeCells count="47">
    <mergeCell ref="J54:K54"/>
    <mergeCell ref="J55:K55"/>
    <mergeCell ref="J56:K56"/>
    <mergeCell ref="J57:K57"/>
    <mergeCell ref="J58:K58"/>
    <mergeCell ref="J49:K49"/>
    <mergeCell ref="J50:K50"/>
    <mergeCell ref="J51:K51"/>
    <mergeCell ref="J52:K52"/>
    <mergeCell ref="J53:K53"/>
    <mergeCell ref="AC1:AD1"/>
    <mergeCell ref="A1:A12"/>
    <mergeCell ref="F1:G1"/>
    <mergeCell ref="H1:I1"/>
    <mergeCell ref="N1:S1"/>
    <mergeCell ref="W1:Z1"/>
    <mergeCell ref="P2:Q2"/>
    <mergeCell ref="P3:S3"/>
    <mergeCell ref="W3:Z3"/>
    <mergeCell ref="I10:J10"/>
    <mergeCell ref="G10:H10"/>
    <mergeCell ref="A14:A26"/>
    <mergeCell ref="N20:O20"/>
    <mergeCell ref="N21:O21"/>
    <mergeCell ref="N22:O22"/>
    <mergeCell ref="F25:G25"/>
    <mergeCell ref="H25:I25"/>
    <mergeCell ref="J25:K25"/>
    <mergeCell ref="G34:H34"/>
    <mergeCell ref="Q24:R24"/>
    <mergeCell ref="X24:Y24"/>
    <mergeCell ref="Q26:R26"/>
    <mergeCell ref="X26:Y26"/>
    <mergeCell ref="A50:B50"/>
    <mergeCell ref="A57:C57"/>
    <mergeCell ref="A52:A56"/>
    <mergeCell ref="A35:B35"/>
    <mergeCell ref="A34:E34"/>
    <mergeCell ref="B39:C39"/>
    <mergeCell ref="B45:C45"/>
    <mergeCell ref="A36:A39"/>
    <mergeCell ref="A40:A45"/>
    <mergeCell ref="F44:H44"/>
    <mergeCell ref="A48:E48"/>
    <mergeCell ref="A49:B49"/>
    <mergeCell ref="D49:E49"/>
    <mergeCell ref="A46:C46"/>
  </mergeCells>
  <phoneticPr fontId="2"/>
  <pageMargins left="0.7" right="0.7" top="0.75" bottom="0.75" header="0.3" footer="0.3"/>
  <pageSetup paperSize="9"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387DA-8CC6-40D7-9323-CE2F5DA1B635}">
  <sheetPr codeName="Sheet5"/>
  <dimension ref="A1:AC39"/>
  <sheetViews>
    <sheetView tabSelected="1" zoomScale="92" zoomScaleNormal="92" workbookViewId="0">
      <selection activeCell="R33" sqref="R33"/>
    </sheetView>
  </sheetViews>
  <sheetFormatPr defaultColWidth="8.796875" defaultRowHeight="21" customHeight="1" x14ac:dyDescent="0.45"/>
  <cols>
    <col min="1" max="1" width="2.296875" style="207" customWidth="1"/>
    <col min="2" max="2" width="16.3984375" style="207" customWidth="1"/>
    <col min="3" max="6" width="12.296875" style="207" customWidth="1"/>
    <col min="7" max="7" width="2.19921875" style="207" customWidth="1"/>
    <col min="8" max="8" width="7.19921875" style="207" customWidth="1"/>
    <col min="9" max="9" width="11.09765625" style="207" customWidth="1"/>
    <col min="10" max="10" width="12.8984375" style="207" customWidth="1"/>
    <col min="11" max="11" width="6.796875" style="207" customWidth="1"/>
    <col min="12" max="13" width="3.3984375" style="207" customWidth="1"/>
    <col min="14" max="16384" width="8.796875" style="207"/>
  </cols>
  <sheetData>
    <row r="1" spans="1:29" ht="6" customHeight="1" x14ac:dyDescent="0.45">
      <c r="B1" s="227"/>
      <c r="C1" s="227"/>
      <c r="D1" s="227"/>
      <c r="E1" s="227"/>
      <c r="F1" s="227"/>
      <c r="G1" s="227"/>
      <c r="H1" s="227"/>
      <c r="I1" s="227"/>
      <c r="J1" s="227"/>
      <c r="K1" s="227"/>
      <c r="L1" s="226"/>
      <c r="M1" s="231"/>
      <c r="N1" s="235"/>
      <c r="O1" s="235"/>
      <c r="P1" s="235"/>
      <c r="Q1" s="235"/>
      <c r="R1" s="235"/>
      <c r="S1" s="235"/>
      <c r="T1" s="235"/>
      <c r="U1" s="235"/>
      <c r="V1" s="235"/>
      <c r="W1" s="235"/>
      <c r="X1" s="219"/>
    </row>
    <row r="2" spans="1:29" ht="21" customHeight="1" x14ac:dyDescent="0.45">
      <c r="A2" s="242"/>
      <c r="B2" s="242" t="s">
        <v>111</v>
      </c>
      <c r="C2" s="242"/>
      <c r="D2" s="242"/>
      <c r="E2" s="242"/>
      <c r="F2" s="242"/>
      <c r="G2" s="242"/>
      <c r="H2" s="242"/>
      <c r="I2" s="245"/>
      <c r="J2" s="245"/>
      <c r="K2" s="245"/>
      <c r="L2" s="242"/>
      <c r="M2" s="219"/>
      <c r="N2" s="346" t="s">
        <v>123</v>
      </c>
      <c r="O2" s="347"/>
      <c r="P2" s="347"/>
      <c r="Q2" s="347"/>
      <c r="R2" s="347"/>
      <c r="S2" s="347"/>
      <c r="T2" s="347"/>
      <c r="U2" s="347"/>
      <c r="V2" s="348"/>
      <c r="W2" s="236"/>
      <c r="X2" s="219"/>
    </row>
    <row r="3" spans="1:29" ht="21" customHeight="1" thickBot="1" x14ac:dyDescent="0.5">
      <c r="A3" s="242"/>
      <c r="B3" s="247"/>
      <c r="C3" s="248" t="s">
        <v>104</v>
      </c>
      <c r="D3" s="245"/>
      <c r="E3" s="242"/>
      <c r="F3" s="242"/>
      <c r="G3" s="242"/>
      <c r="H3" s="242"/>
      <c r="I3" s="245"/>
      <c r="J3" s="245"/>
      <c r="K3" s="245"/>
      <c r="L3" s="242"/>
      <c r="M3" s="219"/>
      <c r="N3" s="349"/>
      <c r="O3" s="350"/>
      <c r="P3" s="350"/>
      <c r="Q3" s="350"/>
      <c r="R3" s="350"/>
      <c r="S3" s="350"/>
      <c r="T3" s="350"/>
      <c r="U3" s="350"/>
      <c r="V3" s="351"/>
      <c r="W3" s="236"/>
      <c r="X3" s="219"/>
      <c r="Y3" s="208"/>
      <c r="Z3" s="208"/>
      <c r="AA3" s="208"/>
      <c r="AB3" s="208"/>
      <c r="AC3" s="208"/>
    </row>
    <row r="4" spans="1:29" ht="21" customHeight="1" thickBot="1" x14ac:dyDescent="0.5">
      <c r="A4" s="242"/>
      <c r="B4" s="246" t="s">
        <v>145</v>
      </c>
      <c r="C4" s="238">
        <v>0</v>
      </c>
      <c r="D4" s="245"/>
      <c r="E4" s="245"/>
      <c r="F4" s="245"/>
      <c r="G4" s="242"/>
      <c r="H4" s="242"/>
      <c r="I4" s="245"/>
      <c r="J4" s="245"/>
      <c r="K4" s="245"/>
      <c r="L4" s="242"/>
      <c r="M4" s="220"/>
      <c r="N4" s="349"/>
      <c r="O4" s="350"/>
      <c r="P4" s="350"/>
      <c r="Q4" s="350"/>
      <c r="R4" s="350"/>
      <c r="S4" s="350"/>
      <c r="T4" s="350"/>
      <c r="U4" s="350"/>
      <c r="V4" s="351"/>
      <c r="W4" s="236"/>
      <c r="X4" s="219"/>
      <c r="Y4" s="208"/>
      <c r="Z4" s="208"/>
      <c r="AA4" s="208"/>
      <c r="AB4" s="208"/>
      <c r="AC4" s="208"/>
    </row>
    <row r="5" spans="1:29" ht="21" customHeight="1" thickBot="1" x14ac:dyDescent="0.5">
      <c r="A5" s="242"/>
      <c r="B5" s="246" t="s">
        <v>28</v>
      </c>
      <c r="C5" s="239">
        <v>0</v>
      </c>
      <c r="D5" s="377" t="s">
        <v>118</v>
      </c>
      <c r="E5" s="377"/>
      <c r="F5" s="377"/>
      <c r="G5" s="242"/>
      <c r="H5" s="242"/>
      <c r="I5" s="245"/>
      <c r="J5" s="245"/>
      <c r="K5" s="245"/>
      <c r="L5" s="242"/>
      <c r="M5" s="220"/>
      <c r="N5" s="349"/>
      <c r="O5" s="350"/>
      <c r="P5" s="350"/>
      <c r="Q5" s="350"/>
      <c r="R5" s="350"/>
      <c r="S5" s="350"/>
      <c r="T5" s="350"/>
      <c r="U5" s="350"/>
      <c r="V5" s="351"/>
      <c r="W5" s="236"/>
      <c r="X5" s="219"/>
      <c r="Y5" s="208"/>
      <c r="Z5" s="208"/>
      <c r="AA5" s="208"/>
      <c r="AB5" s="208"/>
      <c r="AC5" s="208"/>
    </row>
    <row r="6" spans="1:29" ht="7.8" customHeight="1" x14ac:dyDescent="0.45">
      <c r="A6" s="242"/>
      <c r="B6" s="243"/>
      <c r="C6" s="243"/>
      <c r="D6" s="243"/>
      <c r="E6" s="244"/>
      <c r="F6" s="244"/>
      <c r="G6" s="242"/>
      <c r="H6" s="242"/>
      <c r="I6" s="243"/>
      <c r="J6" s="243"/>
      <c r="K6" s="243"/>
      <c r="L6" s="242"/>
      <c r="M6" s="220"/>
      <c r="N6" s="352"/>
      <c r="O6" s="353"/>
      <c r="P6" s="353"/>
      <c r="Q6" s="353"/>
      <c r="R6" s="353"/>
      <c r="S6" s="353"/>
      <c r="T6" s="353"/>
      <c r="U6" s="353"/>
      <c r="V6" s="354"/>
      <c r="W6" s="236"/>
      <c r="X6" s="219"/>
      <c r="Y6" s="208"/>
      <c r="Z6" s="208"/>
      <c r="AA6" s="208"/>
      <c r="AB6" s="208"/>
      <c r="AC6" s="208"/>
    </row>
    <row r="7" spans="1:29" ht="5.4" customHeight="1" x14ac:dyDescent="0.45">
      <c r="A7" s="215"/>
      <c r="B7" s="216"/>
      <c r="C7" s="216"/>
      <c r="D7" s="216"/>
      <c r="E7" s="217"/>
      <c r="F7" s="217"/>
      <c r="G7" s="215"/>
      <c r="H7" s="215"/>
      <c r="I7" s="215"/>
      <c r="J7" s="215"/>
      <c r="K7" s="218"/>
      <c r="L7" s="215"/>
      <c r="M7" s="219"/>
      <c r="N7" s="237"/>
      <c r="O7" s="237"/>
      <c r="P7" s="237"/>
      <c r="Q7" s="237"/>
      <c r="R7" s="237"/>
      <c r="S7" s="237"/>
      <c r="T7" s="237"/>
      <c r="U7" s="237"/>
      <c r="V7" s="237"/>
      <c r="W7" s="219"/>
      <c r="X7" s="219"/>
      <c r="Y7" s="208"/>
      <c r="Z7" s="208"/>
      <c r="AA7" s="208"/>
      <c r="AB7" s="208"/>
      <c r="AC7" s="208"/>
    </row>
    <row r="8" spans="1:29" ht="21" customHeight="1" thickBot="1" x14ac:dyDescent="0.5">
      <c r="A8" s="242"/>
      <c r="B8" s="256" t="s">
        <v>112</v>
      </c>
      <c r="C8" s="257"/>
      <c r="D8" s="257"/>
      <c r="E8" s="243"/>
      <c r="F8" s="243"/>
      <c r="G8" s="242"/>
      <c r="H8" s="242"/>
      <c r="I8" s="242"/>
      <c r="J8" s="242"/>
      <c r="K8" s="249"/>
      <c r="L8" s="242"/>
      <c r="M8" s="219"/>
      <c r="N8" s="178" t="s">
        <v>86</v>
      </c>
      <c r="O8" s="178" t="s">
        <v>87</v>
      </c>
      <c r="P8" s="178" t="s">
        <v>88</v>
      </c>
      <c r="Q8" s="179" t="s">
        <v>89</v>
      </c>
      <c r="R8" s="180"/>
      <c r="S8" s="177" t="b">
        <f ca="1">IF(TODAY()&lt;=O9,TRUE,FALSE)</f>
        <v>1</v>
      </c>
      <c r="U8" s="219"/>
      <c r="V8" s="219"/>
      <c r="W8" s="219"/>
      <c r="X8" s="219"/>
      <c r="Y8" s="208"/>
      <c r="Z8" s="208"/>
      <c r="AA8" s="208"/>
      <c r="AB8" s="208"/>
      <c r="AC8" s="208"/>
    </row>
    <row r="9" spans="1:29" ht="21" customHeight="1" thickBot="1" x14ac:dyDescent="0.5">
      <c r="A9" s="242"/>
      <c r="B9" s="252" t="s">
        <v>107</v>
      </c>
      <c r="C9" s="254">
        <v>380000</v>
      </c>
      <c r="D9" s="250"/>
      <c r="E9" s="252" t="s">
        <v>52</v>
      </c>
      <c r="F9" s="239">
        <v>0</v>
      </c>
      <c r="G9" s="377" t="str">
        <f>IF(F9&gt;0,"※ワンストップ特例は利用できません","※医療費控除の対象となる金額を入力")</f>
        <v>※医療費控除の対象となる金額を入力</v>
      </c>
      <c r="H9" s="377"/>
      <c r="I9" s="377"/>
      <c r="J9" s="377"/>
      <c r="K9" s="249"/>
      <c r="L9" s="242"/>
      <c r="M9" s="219"/>
      <c r="N9" s="181">
        <v>45609</v>
      </c>
      <c r="O9" s="181">
        <f>EDATE(N9,6)</f>
        <v>45790</v>
      </c>
      <c r="P9" s="182" t="str">
        <f ca="1">IF(S8, "使用期間中", "使用期限終了")</f>
        <v>使用期間中</v>
      </c>
      <c r="Q9" s="183" t="s">
        <v>130</v>
      </c>
      <c r="R9" s="180"/>
      <c r="S9" s="184"/>
      <c r="U9" s="219"/>
      <c r="V9" s="219"/>
      <c r="W9" s="219"/>
      <c r="X9" s="219"/>
      <c r="Y9" s="208"/>
      <c r="Z9" s="208"/>
      <c r="AA9" s="208"/>
      <c r="AB9" s="208"/>
      <c r="AC9" s="208"/>
    </row>
    <row r="10" spans="1:29" ht="21" customHeight="1" thickBot="1" x14ac:dyDescent="0.5">
      <c r="A10" s="242"/>
      <c r="B10" s="252" t="s">
        <v>108</v>
      </c>
      <c r="C10" s="254">
        <f ca="1">'ふるさと納税最適額計算（非表示）'!G13</f>
        <v>380000</v>
      </c>
      <c r="D10" s="375" t="s">
        <v>30</v>
      </c>
      <c r="E10" s="374"/>
      <c r="F10" s="238">
        <v>500000</v>
      </c>
      <c r="G10" s="377" t="s">
        <v>143</v>
      </c>
      <c r="H10" s="377"/>
      <c r="I10" s="377"/>
      <c r="J10" s="377"/>
      <c r="K10" s="249"/>
      <c r="L10" s="242"/>
      <c r="M10" s="219"/>
      <c r="N10" s="232" t="s">
        <v>90</v>
      </c>
      <c r="O10" s="232"/>
      <c r="P10" s="232"/>
      <c r="Q10" s="232"/>
      <c r="R10" s="221"/>
      <c r="S10" s="221"/>
      <c r="T10" s="219"/>
      <c r="U10" s="219"/>
      <c r="V10" s="219"/>
      <c r="W10" s="219"/>
      <c r="X10" s="219"/>
      <c r="Y10" s="208"/>
      <c r="Z10" s="208"/>
      <c r="AA10" s="208"/>
      <c r="AB10" s="208"/>
      <c r="AC10" s="208"/>
    </row>
    <row r="11" spans="1:29" ht="21" customHeight="1" thickBot="1" x14ac:dyDescent="0.5">
      <c r="A11" s="242"/>
      <c r="B11" s="252" t="s">
        <v>109</v>
      </c>
      <c r="C11" s="255">
        <f ca="1">'ふるさと納税最適額計算（非表示）'!G14</f>
        <v>0</v>
      </c>
      <c r="D11" s="374" t="s">
        <v>94</v>
      </c>
      <c r="E11" s="374"/>
      <c r="F11" s="239">
        <v>100000</v>
      </c>
      <c r="G11" s="377" t="s">
        <v>105</v>
      </c>
      <c r="H11" s="377"/>
      <c r="I11" s="377"/>
      <c r="J11" s="377"/>
      <c r="K11" s="249"/>
      <c r="L11" s="242"/>
      <c r="M11" s="219"/>
      <c r="N11" s="233" t="s">
        <v>128</v>
      </c>
      <c r="O11" s="226"/>
      <c r="P11" s="219"/>
      <c r="Q11" s="219"/>
      <c r="R11" s="219"/>
      <c r="S11" s="219"/>
      <c r="T11" s="219"/>
      <c r="U11" s="219"/>
      <c r="V11" s="219"/>
      <c r="W11" s="219"/>
      <c r="X11" s="219"/>
      <c r="Y11" s="208"/>
      <c r="Z11" s="208"/>
      <c r="AA11" s="208"/>
      <c r="AB11" s="208"/>
      <c r="AC11" s="208"/>
    </row>
    <row r="12" spans="1:29" ht="21" customHeight="1" thickBot="1" x14ac:dyDescent="0.3">
      <c r="A12" s="242"/>
      <c r="B12" s="376" t="s">
        <v>96</v>
      </c>
      <c r="C12" s="376"/>
      <c r="D12" s="245"/>
      <c r="E12" s="250" t="s">
        <v>62</v>
      </c>
      <c r="F12" s="238">
        <v>50000</v>
      </c>
      <c r="G12" s="377" t="s">
        <v>144</v>
      </c>
      <c r="H12" s="377"/>
      <c r="I12" s="377"/>
      <c r="J12" s="377"/>
      <c r="K12" s="249"/>
      <c r="L12" s="242"/>
      <c r="M12" s="219"/>
      <c r="N12" s="287"/>
      <c r="O12" s="233" t="s">
        <v>134</v>
      </c>
      <c r="P12" s="219"/>
      <c r="Q12" s="219"/>
      <c r="R12" s="219"/>
      <c r="S12" s="219"/>
      <c r="T12" s="219"/>
      <c r="U12" s="219"/>
      <c r="V12" s="219"/>
      <c r="W12" s="219"/>
      <c r="X12" s="219"/>
      <c r="Y12" s="208"/>
      <c r="Z12" s="208"/>
      <c r="AA12" s="208"/>
      <c r="AB12" s="208"/>
      <c r="AC12" s="208"/>
    </row>
    <row r="13" spans="1:29" ht="21" customHeight="1" thickBot="1" x14ac:dyDescent="0.5">
      <c r="A13" s="242"/>
      <c r="B13" s="252" t="s">
        <v>15</v>
      </c>
      <c r="C13" s="240">
        <v>0</v>
      </c>
      <c r="D13" s="253" t="s">
        <v>10</v>
      </c>
      <c r="E13" s="250" t="s">
        <v>42</v>
      </c>
      <c r="F13" s="238">
        <v>50000</v>
      </c>
      <c r="G13" s="377" t="s">
        <v>144</v>
      </c>
      <c r="H13" s="377"/>
      <c r="I13" s="377"/>
      <c r="J13" s="377"/>
      <c r="K13" s="249"/>
      <c r="L13" s="242"/>
      <c r="M13" s="219"/>
      <c r="N13" s="233" t="s">
        <v>103</v>
      </c>
      <c r="O13" s="234"/>
      <c r="P13" s="219"/>
      <c r="Q13" s="219"/>
      <c r="R13" s="219"/>
      <c r="S13" s="219"/>
      <c r="T13" s="219"/>
      <c r="U13" s="219"/>
      <c r="V13" s="219"/>
      <c r="W13" s="219"/>
      <c r="X13" s="219"/>
      <c r="Y13" s="208"/>
      <c r="Z13" s="208"/>
      <c r="AA13" s="208"/>
      <c r="AB13" s="208"/>
      <c r="AC13" s="208"/>
    </row>
    <row r="14" spans="1:29" ht="21" customHeight="1" thickBot="1" x14ac:dyDescent="0.5">
      <c r="A14" s="242"/>
      <c r="B14" s="252" t="s">
        <v>17</v>
      </c>
      <c r="C14" s="240">
        <v>0</v>
      </c>
      <c r="D14" s="253" t="s">
        <v>10</v>
      </c>
      <c r="E14" s="250"/>
      <c r="F14" s="250"/>
      <c r="G14" s="250"/>
      <c r="H14" s="250"/>
      <c r="I14" s="242"/>
      <c r="J14" s="242"/>
      <c r="K14" s="249"/>
      <c r="L14" s="242"/>
      <c r="M14" s="219"/>
      <c r="N14" s="384" t="s">
        <v>142</v>
      </c>
      <c r="O14" s="219"/>
      <c r="P14" s="219"/>
      <c r="Q14" s="219"/>
      <c r="R14" s="219"/>
      <c r="S14" s="219"/>
      <c r="T14" s="219"/>
      <c r="U14" s="219"/>
      <c r="V14" s="219"/>
      <c r="W14" s="219"/>
      <c r="X14" s="219"/>
      <c r="Y14" s="208"/>
      <c r="Z14" s="208"/>
      <c r="AA14" s="208"/>
      <c r="AB14" s="208"/>
      <c r="AC14" s="208"/>
    </row>
    <row r="15" spans="1:29" ht="21" customHeight="1" thickBot="1" x14ac:dyDescent="0.35">
      <c r="A15" s="242"/>
      <c r="B15" s="252" t="s">
        <v>102</v>
      </c>
      <c r="C15" s="240">
        <v>0</v>
      </c>
      <c r="D15" s="249" t="s">
        <v>10</v>
      </c>
      <c r="E15" s="251" t="s">
        <v>110</v>
      </c>
      <c r="F15" s="239">
        <v>0</v>
      </c>
      <c r="G15" s="378" t="s">
        <v>116</v>
      </c>
      <c r="H15" s="378"/>
      <c r="I15" s="242"/>
      <c r="J15" s="242"/>
      <c r="K15" s="249"/>
      <c r="L15" s="242"/>
      <c r="M15" s="219"/>
      <c r="N15" s="208">
        <f ca="1">IF(D31&gt;2000,1,0)</f>
        <v>1</v>
      </c>
      <c r="O15" s="208">
        <f ca="1">IF(E31&gt;2000,1,0)</f>
        <v>1</v>
      </c>
      <c r="P15" s="208">
        <f ca="1">N15+O15</f>
        <v>2</v>
      </c>
      <c r="Q15" s="208"/>
      <c r="R15" s="219"/>
      <c r="S15" s="219"/>
      <c r="T15" s="219"/>
      <c r="U15" s="219"/>
      <c r="V15" s="219"/>
      <c r="W15" s="219"/>
      <c r="X15" s="219"/>
      <c r="Y15" s="208"/>
      <c r="Z15" s="208"/>
      <c r="AA15" s="208"/>
      <c r="AB15" s="208"/>
      <c r="AC15" s="208"/>
    </row>
    <row r="16" spans="1:29" ht="21" customHeight="1" thickBot="1" x14ac:dyDescent="0.35">
      <c r="A16" s="242"/>
      <c r="B16" s="245"/>
      <c r="C16" s="245"/>
      <c r="D16" s="245"/>
      <c r="E16" s="250"/>
      <c r="F16" s="239">
        <v>0</v>
      </c>
      <c r="G16" s="378" t="s">
        <v>117</v>
      </c>
      <c r="H16" s="378"/>
      <c r="I16" s="242"/>
      <c r="J16" s="242"/>
      <c r="K16" s="249"/>
      <c r="L16" s="242"/>
      <c r="M16" s="219"/>
      <c r="N16" s="208">
        <f>IF(F9&gt;0,1,0)</f>
        <v>0</v>
      </c>
      <c r="O16" s="208"/>
      <c r="P16" s="208"/>
      <c r="Q16" s="208"/>
      <c r="R16" s="219"/>
      <c r="S16" s="219"/>
      <c r="T16" s="219"/>
      <c r="U16" s="219"/>
      <c r="V16" s="219"/>
      <c r="W16" s="219"/>
      <c r="X16" s="219"/>
      <c r="Y16" s="208"/>
      <c r="Z16" s="208"/>
      <c r="AA16" s="208"/>
      <c r="AB16" s="208"/>
      <c r="AC16" s="208"/>
    </row>
    <row r="17" spans="1:29" ht="8.4" customHeight="1" x14ac:dyDescent="0.45">
      <c r="A17" s="242"/>
      <c r="B17" s="242"/>
      <c r="C17" s="242"/>
      <c r="D17" s="242"/>
      <c r="E17" s="242"/>
      <c r="F17" s="242"/>
      <c r="G17" s="242"/>
      <c r="H17" s="242"/>
      <c r="I17" s="242"/>
      <c r="J17" s="242"/>
      <c r="K17" s="249"/>
      <c r="L17" s="242"/>
      <c r="M17" s="219"/>
      <c r="N17" s="219"/>
      <c r="O17" s="219"/>
      <c r="P17" s="219"/>
      <c r="Q17" s="219"/>
      <c r="R17" s="219"/>
      <c r="S17" s="219"/>
      <c r="T17" s="219"/>
      <c r="U17" s="219"/>
      <c r="V17" s="219"/>
      <c r="W17" s="219"/>
      <c r="X17" s="219"/>
      <c r="Y17" s="208"/>
      <c r="Z17" s="208"/>
      <c r="AA17" s="208"/>
      <c r="AB17" s="208"/>
      <c r="AC17" s="208"/>
    </row>
    <row r="18" spans="1:29" ht="5.4" customHeight="1" x14ac:dyDescent="0.45">
      <c r="A18" s="215"/>
      <c r="B18" s="216"/>
      <c r="C18" s="228"/>
      <c r="D18" s="222"/>
      <c r="E18" s="222"/>
      <c r="F18" s="229"/>
      <c r="G18" s="215"/>
      <c r="H18" s="215"/>
      <c r="I18" s="215"/>
      <c r="J18" s="215"/>
      <c r="K18" s="218"/>
      <c r="L18" s="215"/>
      <c r="M18" s="208"/>
      <c r="N18" s="208"/>
      <c r="O18" s="208"/>
      <c r="P18" s="208"/>
      <c r="Q18" s="208"/>
      <c r="R18" s="208"/>
      <c r="S18" s="208"/>
      <c r="T18" s="208"/>
      <c r="U18" s="208"/>
      <c r="V18" s="208"/>
      <c r="W18" s="208"/>
      <c r="X18" s="208"/>
      <c r="Y18" s="208"/>
      <c r="Z18" s="208"/>
      <c r="AA18" s="208"/>
      <c r="AB18" s="208"/>
      <c r="AC18" s="208"/>
    </row>
    <row r="19" spans="1:29" ht="21" customHeight="1" thickBot="1" x14ac:dyDescent="0.5">
      <c r="A19" s="385"/>
      <c r="B19" s="386" t="s">
        <v>113</v>
      </c>
      <c r="C19" s="387"/>
      <c r="D19" s="388"/>
      <c r="E19" s="388"/>
      <c r="F19" s="389"/>
      <c r="G19" s="385"/>
      <c r="H19" s="385"/>
      <c r="I19" s="385"/>
      <c r="J19" s="385"/>
      <c r="K19" s="390"/>
      <c r="L19" s="385"/>
      <c r="M19" s="208"/>
      <c r="N19" s="208"/>
      <c r="O19" s="208"/>
      <c r="P19" s="208"/>
      <c r="Q19" s="208"/>
      <c r="R19" s="208"/>
      <c r="S19" s="208"/>
      <c r="T19" s="208"/>
      <c r="U19" s="208"/>
      <c r="V19" s="208"/>
      <c r="W19" s="208"/>
      <c r="X19" s="208"/>
      <c r="Y19" s="208"/>
      <c r="Z19" s="208"/>
      <c r="AA19" s="208"/>
      <c r="AB19" s="208"/>
      <c r="AC19" s="208"/>
    </row>
    <row r="20" spans="1:29" ht="21" customHeight="1" thickBot="1" x14ac:dyDescent="0.5">
      <c r="A20" s="385"/>
      <c r="B20" s="391" t="s">
        <v>45</v>
      </c>
      <c r="C20" s="239">
        <v>0</v>
      </c>
      <c r="D20" s="392"/>
      <c r="E20" s="393" t="s">
        <v>114</v>
      </c>
      <c r="F20" s="393"/>
      <c r="G20" s="393"/>
      <c r="H20" s="241">
        <v>7.0000000000000001E-3</v>
      </c>
      <c r="I20" s="398" t="s">
        <v>119</v>
      </c>
      <c r="J20" s="398"/>
      <c r="K20" s="398"/>
      <c r="L20" s="398"/>
      <c r="M20" s="208"/>
      <c r="N20" s="208"/>
      <c r="O20" s="208"/>
      <c r="P20" s="208"/>
      <c r="Q20" s="208"/>
      <c r="R20" s="208"/>
      <c r="S20" s="208"/>
      <c r="T20" s="208"/>
      <c r="U20" s="208"/>
      <c r="V20" s="208"/>
      <c r="W20" s="208"/>
      <c r="X20" s="208"/>
      <c r="Y20" s="208"/>
      <c r="Z20" s="208"/>
      <c r="AA20" s="208"/>
      <c r="AB20" s="208"/>
      <c r="AC20" s="208"/>
    </row>
    <row r="21" spans="1:29" ht="21" customHeight="1" x14ac:dyDescent="0.45">
      <c r="A21" s="385"/>
      <c r="B21" s="399" t="s">
        <v>129</v>
      </c>
      <c r="C21" s="399"/>
      <c r="D21" s="392"/>
      <c r="E21" s="394"/>
      <c r="F21" s="394"/>
      <c r="G21" s="394"/>
      <c r="H21" s="395"/>
      <c r="I21" s="385"/>
      <c r="J21" s="385"/>
      <c r="K21" s="390"/>
      <c r="L21" s="385"/>
      <c r="M21" s="208"/>
      <c r="N21" s="208"/>
      <c r="O21" s="208"/>
      <c r="P21" s="208"/>
      <c r="Q21" s="208"/>
      <c r="R21" s="208"/>
      <c r="S21" s="208"/>
      <c r="T21" s="208"/>
      <c r="U21" s="208"/>
      <c r="V21" s="208"/>
      <c r="W21" s="208"/>
      <c r="X21" s="208"/>
      <c r="Y21" s="208"/>
      <c r="Z21" s="208"/>
      <c r="AA21" s="208"/>
      <c r="AB21" s="208"/>
      <c r="AC21" s="208"/>
    </row>
    <row r="22" spans="1:29" ht="5.4" customHeight="1" x14ac:dyDescent="0.45">
      <c r="A22" s="215"/>
      <c r="B22" s="216"/>
      <c r="C22" s="228"/>
      <c r="D22" s="222"/>
      <c r="E22" s="222"/>
      <c r="F22" s="229"/>
      <c r="G22" s="215"/>
      <c r="H22" s="215"/>
      <c r="I22" s="215"/>
      <c r="J22" s="215"/>
      <c r="K22" s="218"/>
      <c r="L22" s="215"/>
      <c r="M22" s="208"/>
      <c r="N22" s="208"/>
      <c r="O22" s="208"/>
      <c r="P22" s="208"/>
      <c r="Q22" s="208"/>
      <c r="R22" s="208"/>
      <c r="S22" s="208"/>
      <c r="T22" s="208"/>
      <c r="U22" s="208"/>
      <c r="V22" s="208"/>
      <c r="W22" s="208"/>
      <c r="X22" s="208"/>
      <c r="Y22" s="208"/>
      <c r="Z22" s="208"/>
      <c r="AA22" s="208"/>
      <c r="AB22" s="208"/>
      <c r="AC22" s="208"/>
    </row>
    <row r="23" spans="1:29" ht="21" customHeight="1" x14ac:dyDescent="0.45">
      <c r="A23" s="258"/>
      <c r="B23" s="259" t="s">
        <v>115</v>
      </c>
      <c r="C23" s="260"/>
      <c r="D23" s="261"/>
      <c r="E23" s="261"/>
      <c r="F23" s="262"/>
      <c r="G23" s="258"/>
      <c r="H23" s="258"/>
      <c r="I23" s="258"/>
      <c r="J23" s="258"/>
      <c r="K23" s="263"/>
      <c r="L23" s="258"/>
      <c r="M23" s="208"/>
      <c r="N23" s="208"/>
      <c r="O23" s="208"/>
      <c r="P23" s="208"/>
      <c r="Q23" s="208"/>
      <c r="R23" s="208"/>
      <c r="S23" s="208"/>
      <c r="T23" s="208"/>
      <c r="U23" s="208"/>
      <c r="V23" s="208"/>
      <c r="W23" s="208"/>
      <c r="X23" s="208"/>
      <c r="Y23" s="208"/>
      <c r="Z23" s="208"/>
      <c r="AA23" s="208"/>
      <c r="AB23" s="208"/>
      <c r="AC23" s="208"/>
    </row>
    <row r="24" spans="1:29" ht="4.2" customHeight="1" x14ac:dyDescent="0.45">
      <c r="A24" s="258"/>
      <c r="B24" s="264"/>
      <c r="C24" s="260"/>
      <c r="D24" s="261"/>
      <c r="E24" s="261"/>
      <c r="F24" s="262"/>
      <c r="G24" s="258"/>
      <c r="H24" s="258"/>
      <c r="I24" s="258"/>
      <c r="J24" s="258"/>
      <c r="K24" s="263"/>
      <c r="L24" s="258"/>
      <c r="M24" s="208"/>
      <c r="N24" s="208"/>
      <c r="O24" s="208"/>
      <c r="P24" s="208"/>
      <c r="Q24" s="208"/>
      <c r="R24" s="208"/>
      <c r="S24" s="208"/>
      <c r="T24" s="208"/>
      <c r="U24" s="208"/>
      <c r="V24" s="208"/>
      <c r="W24" s="208"/>
      <c r="X24" s="208"/>
      <c r="Y24" s="208"/>
      <c r="Z24" s="208"/>
      <c r="AA24" s="208"/>
      <c r="AB24" s="208"/>
      <c r="AC24" s="208"/>
    </row>
    <row r="25" spans="1:29" ht="20.399999999999999" customHeight="1" x14ac:dyDescent="0.45">
      <c r="A25" s="258"/>
      <c r="B25" s="264" t="s">
        <v>47</v>
      </c>
      <c r="C25" s="265">
        <f>IF('ふるさと納税最適額計算（非表示）'!B32&lt;200,0,'ふるさと納税最適額計算（非表示）'!B32*10)</f>
        <v>0</v>
      </c>
      <c r="D25" s="261"/>
      <c r="E25" s="261"/>
      <c r="F25" s="262"/>
      <c r="G25" s="258"/>
      <c r="H25" s="258"/>
      <c r="I25" s="258"/>
      <c r="J25" s="258"/>
      <c r="K25" s="263"/>
      <c r="L25" s="258"/>
      <c r="M25" s="208"/>
      <c r="N25" s="208"/>
      <c r="O25" s="208"/>
      <c r="P25" s="208"/>
      <c r="Q25" s="208"/>
      <c r="R25" s="208"/>
      <c r="S25" s="208"/>
      <c r="T25" s="208"/>
      <c r="U25" s="208"/>
      <c r="V25" s="208"/>
      <c r="W25" s="208"/>
      <c r="X25" s="208"/>
      <c r="Y25" s="208"/>
      <c r="Z25" s="208"/>
      <c r="AA25" s="208"/>
      <c r="AB25" s="208"/>
      <c r="AC25" s="208"/>
    </row>
    <row r="26" spans="1:29" ht="21" customHeight="1" x14ac:dyDescent="0.45">
      <c r="A26" s="258"/>
      <c r="B26" s="258"/>
      <c r="C26" s="258"/>
      <c r="D26" s="258"/>
      <c r="E26" s="266"/>
      <c r="F26" s="258"/>
      <c r="G26" s="258"/>
      <c r="H26" s="258"/>
      <c r="I26" s="267"/>
      <c r="J26" s="267"/>
      <c r="K26" s="258"/>
      <c r="L26" s="258"/>
      <c r="M26" s="208"/>
      <c r="N26" s="208"/>
      <c r="O26" s="208"/>
      <c r="P26" s="208"/>
      <c r="Q26" s="208"/>
      <c r="R26" s="208"/>
      <c r="S26" s="208"/>
      <c r="T26" s="208"/>
      <c r="U26" s="208"/>
      <c r="V26" s="208"/>
      <c r="W26" s="208"/>
      <c r="X26" s="208"/>
      <c r="Y26" s="208"/>
      <c r="Z26" s="208"/>
      <c r="AA26" s="208"/>
      <c r="AB26" s="208"/>
      <c r="AC26" s="208"/>
    </row>
    <row r="27" spans="1:29" ht="21" customHeight="1" x14ac:dyDescent="0.3">
      <c r="A27" s="258"/>
      <c r="B27" s="267"/>
      <c r="C27" s="267"/>
      <c r="D27" s="267"/>
      <c r="E27" s="267"/>
      <c r="F27" s="278"/>
      <c r="G27" s="278"/>
      <c r="H27" s="278"/>
      <c r="I27" s="284" t="s">
        <v>50</v>
      </c>
      <c r="J27" s="284" t="s">
        <v>49</v>
      </c>
      <c r="K27" s="279"/>
      <c r="L27" s="278"/>
      <c r="M27" s="208"/>
      <c r="N27" s="208"/>
      <c r="Q27" s="208"/>
      <c r="R27" s="208"/>
      <c r="S27" s="208"/>
      <c r="T27" s="208"/>
      <c r="U27" s="208"/>
      <c r="V27" s="208"/>
      <c r="W27" s="208"/>
      <c r="X27" s="208"/>
      <c r="Y27" s="208"/>
      <c r="Z27" s="208"/>
      <c r="AA27" s="208"/>
      <c r="AB27" s="208"/>
      <c r="AC27" s="208"/>
    </row>
    <row r="28" spans="1:29" ht="21" customHeight="1" x14ac:dyDescent="0.45">
      <c r="A28" s="258"/>
      <c r="B28" s="264"/>
      <c r="C28" s="268"/>
      <c r="D28" s="258"/>
      <c r="E28" s="397"/>
      <c r="F28" s="396" t="s">
        <v>124</v>
      </c>
      <c r="G28" s="356"/>
      <c r="H28" s="356"/>
      <c r="I28" s="283" t="str">
        <f ca="1">IF('ふるさと納税最適額計算（非表示）'!C10=0,"-",IF(C25=0,0,'ふるさと納税最適額計算（非表示）'!D39))</f>
        <v>-</v>
      </c>
      <c r="J28" s="283" t="str">
        <f ca="1">IF('ふるさと納税最適額計算（非表示）'!C10=0,"-",IF(C25=0,0,'ふるさと納税最適額計算（非表示）'!E39))</f>
        <v>-</v>
      </c>
      <c r="K28" s="280"/>
      <c r="L28" s="278"/>
      <c r="M28" s="208"/>
      <c r="N28" s="208"/>
      <c r="Q28" s="208"/>
      <c r="R28" s="208"/>
      <c r="S28" s="208"/>
      <c r="T28" s="208"/>
      <c r="U28" s="208"/>
      <c r="V28" s="208"/>
      <c r="W28" s="208"/>
      <c r="X28" s="208"/>
      <c r="Y28" s="208"/>
      <c r="Z28" s="208"/>
      <c r="AA28" s="208"/>
      <c r="AB28" s="208"/>
      <c r="AC28" s="208"/>
    </row>
    <row r="29" spans="1:29" ht="21" customHeight="1" x14ac:dyDescent="0.45">
      <c r="A29" s="258"/>
      <c r="B29" s="361" t="s">
        <v>74</v>
      </c>
      <c r="C29" s="362"/>
      <c r="D29" s="362"/>
      <c r="E29" s="363"/>
      <c r="F29" s="355" t="s">
        <v>125</v>
      </c>
      <c r="G29" s="356"/>
      <c r="H29" s="356"/>
      <c r="I29" s="282" t="str">
        <f ca="1">IF('ふるさと納税最適額計算（非表示）'!C10=0,"-",IF(C25=0,0,'ふるさと納税最適額計算（非表示）'!D40+'ふるさと納税最適額計算（非表示）'!D44))</f>
        <v>-</v>
      </c>
      <c r="J29" s="283" t="str">
        <f ca="1">IF('ふるさと納税最適額計算（非表示）'!C10=0,"-",IF(C25=0,0,'ふるさと納税最適額計算（非表示）'!E40))</f>
        <v>-</v>
      </c>
      <c r="K29" s="281"/>
      <c r="L29" s="278"/>
      <c r="M29" s="208"/>
      <c r="N29" s="208"/>
      <c r="Q29" s="208"/>
      <c r="R29" s="208"/>
      <c r="S29" s="208"/>
      <c r="T29" s="208"/>
      <c r="U29" s="208"/>
      <c r="V29" s="208"/>
      <c r="W29" s="208"/>
      <c r="X29" s="208"/>
      <c r="Y29" s="208"/>
      <c r="Z29" s="208"/>
      <c r="AA29" s="208"/>
      <c r="AB29" s="208"/>
      <c r="AC29" s="208"/>
    </row>
    <row r="30" spans="1:29" ht="21" customHeight="1" x14ac:dyDescent="0.3">
      <c r="A30" s="258"/>
      <c r="B30" s="366"/>
      <c r="C30" s="367"/>
      <c r="D30" s="269" t="s">
        <v>50</v>
      </c>
      <c r="E30" s="270" t="s">
        <v>49</v>
      </c>
      <c r="F30" s="355" t="s">
        <v>126</v>
      </c>
      <c r="G30" s="356"/>
      <c r="H30" s="356"/>
      <c r="I30" s="282" t="str">
        <f ca="1">IF('ふるさと納税最適額計算（非表示）'!C10=0,"-",IF(C25=0,0,'ふるさと納税最適額計算（非表示）'!D43))</f>
        <v>-</v>
      </c>
      <c r="J30" s="283" t="str">
        <f ca="1">IF('ふるさと納税最適額計算（非表示）'!C10=0,"-",IF(C25=0,0,'ふるさと納税最適額計算（非表示）'!E43+'ふるさと納税最適額計算（非表示）'!E44))</f>
        <v>-</v>
      </c>
      <c r="K30" s="279"/>
      <c r="L30" s="278"/>
      <c r="M30" s="208"/>
      <c r="N30" s="208"/>
      <c r="Q30" s="208"/>
      <c r="R30" s="208"/>
      <c r="S30" s="208"/>
      <c r="T30" s="208"/>
      <c r="U30" s="208"/>
      <c r="V30" s="208"/>
      <c r="W30" s="208"/>
      <c r="X30" s="208"/>
      <c r="Y30" s="208"/>
      <c r="Z30" s="208"/>
      <c r="AA30" s="208"/>
      <c r="AB30" s="208"/>
      <c r="AC30" s="208"/>
    </row>
    <row r="31" spans="1:29" ht="21" customHeight="1" x14ac:dyDescent="0.45">
      <c r="A31" s="258"/>
      <c r="B31" s="368" t="s">
        <v>73</v>
      </c>
      <c r="C31" s="369"/>
      <c r="D31" s="271" t="str">
        <f ca="1">IF('ふるさと納税最適額計算（非表示）'!C10=0,"-",I31)</f>
        <v>-</v>
      </c>
      <c r="E31" s="272" t="str">
        <f ca="1">IF('ふるさと納税最適額計算（非表示）'!C10=0,"-",J31)</f>
        <v>-</v>
      </c>
      <c r="F31" s="267"/>
      <c r="G31" s="267"/>
      <c r="H31" s="266" t="s">
        <v>127</v>
      </c>
      <c r="I31" s="285" t="str">
        <f ca="1">IF('ふるさと納税最適額計算（非表示）'!C10=0,"-",IF(C25=0,0,'ふるさと納税最適額計算（非表示）'!D46))</f>
        <v>-</v>
      </c>
      <c r="J31" s="286" t="str">
        <f ca="1">IF('ふるさと納税最適額計算（非表示）'!C10=0,"-",IF(C25=0,0,'ふるさと納税最適額計算（非表示）'!E46))</f>
        <v>-</v>
      </c>
      <c r="K31" s="281"/>
      <c r="L31" s="278"/>
      <c r="M31" s="208"/>
      <c r="N31" s="208"/>
      <c r="Q31" s="208"/>
      <c r="R31" s="208"/>
      <c r="S31" s="208"/>
      <c r="T31" s="208"/>
      <c r="U31" s="208"/>
      <c r="V31" s="208"/>
      <c r="W31" s="208"/>
      <c r="X31" s="208"/>
      <c r="Y31" s="208"/>
      <c r="Z31" s="208"/>
      <c r="AA31" s="208"/>
      <c r="AB31" s="208"/>
      <c r="AC31" s="208"/>
    </row>
    <row r="32" spans="1:29" ht="21" customHeight="1" thickBot="1" x14ac:dyDescent="0.5">
      <c r="A32" s="258"/>
      <c r="B32" s="364" t="s">
        <v>72</v>
      </c>
      <c r="C32" s="365"/>
      <c r="D32" s="273">
        <f ca="1">'ふるさと納税最適額計算（非表示）'!D57</f>
        <v>0</v>
      </c>
      <c r="E32" s="274">
        <f ca="1">'ふるさと納税最適額計算（非表示）'!E57</f>
        <v>0</v>
      </c>
      <c r="F32" s="258"/>
      <c r="G32" s="258"/>
      <c r="H32" s="267"/>
      <c r="I32" s="267"/>
      <c r="J32" s="267"/>
      <c r="K32" s="268"/>
      <c r="L32" s="258"/>
      <c r="M32" s="208"/>
      <c r="N32" s="208"/>
      <c r="O32" s="208"/>
      <c r="P32" s="208"/>
      <c r="Q32" s="208"/>
      <c r="R32" s="208"/>
      <c r="S32" s="208"/>
      <c r="T32" s="208"/>
      <c r="U32" s="208"/>
      <c r="V32" s="208"/>
      <c r="W32" s="208"/>
      <c r="X32" s="208"/>
      <c r="Y32" s="208"/>
      <c r="Z32" s="208"/>
      <c r="AA32" s="208"/>
      <c r="AB32" s="208"/>
      <c r="AC32" s="208"/>
    </row>
    <row r="33" spans="1:29" ht="21" customHeight="1" thickTop="1" thickBot="1" x14ac:dyDescent="0.5">
      <c r="A33" s="258"/>
      <c r="B33" s="370" t="str">
        <f>IF(C20&gt;0,"②－①（大きいほうが良い）③","①（小さいほうが良い）③")</f>
        <v>①（小さいほうが良い）③</v>
      </c>
      <c r="C33" s="371"/>
      <c r="D33" s="275" t="str">
        <f ca="1">IF(D32=0,D31,D32-D31)</f>
        <v>-</v>
      </c>
      <c r="E33" s="276" t="str">
        <f ca="1">IF(E32=0,E31,E32-E31)</f>
        <v>-</v>
      </c>
      <c r="F33" s="258"/>
      <c r="G33" s="258"/>
      <c r="H33" s="258"/>
      <c r="I33" s="264"/>
      <c r="J33" s="264"/>
      <c r="K33" s="268"/>
      <c r="L33" s="258"/>
      <c r="M33" s="208"/>
      <c r="N33" s="208"/>
      <c r="O33" s="208"/>
      <c r="P33" s="208"/>
      <c r="Q33" s="208"/>
      <c r="R33" s="208"/>
      <c r="S33" s="208"/>
      <c r="T33" s="208"/>
      <c r="U33" s="208"/>
      <c r="V33" s="208"/>
      <c r="W33" s="208"/>
      <c r="X33" s="208"/>
      <c r="Y33" s="208"/>
      <c r="Z33" s="208"/>
      <c r="AA33" s="208"/>
      <c r="AB33" s="208"/>
      <c r="AC33" s="208"/>
    </row>
    <row r="34" spans="1:29" ht="21" customHeight="1" thickTop="1" x14ac:dyDescent="0.45">
      <c r="A34" s="258"/>
      <c r="B34" s="373" t="str">
        <f ca="1">IF(D31="-","※所得税が発生しないためふるさと納税のメリットがありません","")</f>
        <v>※所得税が発生しないためふるさと納税のメリットがありません</v>
      </c>
      <c r="C34" s="373"/>
      <c r="D34" s="373"/>
      <c r="E34" s="373"/>
      <c r="F34" s="277"/>
      <c r="G34" s="258"/>
      <c r="H34" s="258"/>
      <c r="I34" s="267"/>
      <c r="J34" s="267"/>
      <c r="K34" s="258"/>
      <c r="L34" s="258"/>
      <c r="M34" s="208"/>
      <c r="N34" s="208"/>
      <c r="O34" s="208"/>
      <c r="P34" s="208"/>
      <c r="Q34" s="208"/>
      <c r="R34" s="208"/>
      <c r="S34" s="208"/>
      <c r="T34" s="208"/>
      <c r="U34" s="208"/>
      <c r="V34" s="208"/>
      <c r="W34" s="208"/>
      <c r="X34" s="208"/>
      <c r="Y34" s="208"/>
      <c r="Z34" s="208"/>
      <c r="AA34" s="208"/>
      <c r="AB34" s="208"/>
      <c r="AC34" s="208"/>
    </row>
    <row r="35" spans="1:29" ht="21" customHeight="1" thickBot="1" x14ac:dyDescent="0.35">
      <c r="B35" s="230" t="s">
        <v>122</v>
      </c>
      <c r="M35" s="208"/>
      <c r="N35" s="208"/>
      <c r="O35" s="208"/>
      <c r="P35" s="208"/>
      <c r="Q35" s="208"/>
      <c r="R35" s="208"/>
      <c r="S35" s="208"/>
      <c r="T35" s="208"/>
      <c r="U35" s="208"/>
      <c r="V35" s="208"/>
      <c r="W35" s="208"/>
      <c r="X35" s="208"/>
      <c r="Y35" s="208"/>
      <c r="Z35" s="208"/>
      <c r="AA35" s="208"/>
      <c r="AB35" s="208"/>
      <c r="AC35" s="208"/>
    </row>
    <row r="36" spans="1:29" ht="21" customHeight="1" thickBot="1" x14ac:dyDescent="0.5">
      <c r="B36" s="382" t="s">
        <v>135</v>
      </c>
      <c r="C36" s="383"/>
      <c r="D36" s="381">
        <f>C25*'ふるさと納税最適額計算（非表示）'!L56</f>
        <v>0</v>
      </c>
      <c r="E36" s="207" t="s">
        <v>133</v>
      </c>
      <c r="M36" s="208"/>
      <c r="N36" s="208"/>
      <c r="O36" s="208"/>
      <c r="P36" s="208"/>
      <c r="Q36" s="208"/>
      <c r="R36" s="208"/>
      <c r="S36" s="208"/>
      <c r="T36" s="208"/>
      <c r="U36" s="208"/>
      <c r="V36" s="208"/>
      <c r="W36" s="208"/>
      <c r="X36" s="208"/>
      <c r="Y36" s="208"/>
      <c r="Z36" s="208"/>
      <c r="AA36" s="208"/>
      <c r="AB36" s="208"/>
      <c r="AC36" s="208"/>
    </row>
    <row r="37" spans="1:29" ht="21" customHeight="1" thickBot="1" x14ac:dyDescent="0.5">
      <c r="B37" s="359" t="s">
        <v>97</v>
      </c>
      <c r="C37" s="359"/>
      <c r="D37" s="214">
        <v>0</v>
      </c>
      <c r="E37" s="214">
        <v>0</v>
      </c>
      <c r="F37" s="358" t="s">
        <v>99</v>
      </c>
      <c r="G37" s="358"/>
      <c r="H37" s="358"/>
      <c r="I37" s="358"/>
      <c r="J37" s="358"/>
      <c r="M37" s="208"/>
      <c r="N37" s="208"/>
      <c r="O37" s="208"/>
      <c r="P37" s="208"/>
      <c r="Q37" s="208"/>
      <c r="R37" s="208"/>
      <c r="S37" s="208"/>
      <c r="T37" s="208"/>
      <c r="U37" s="208"/>
      <c r="V37" s="208"/>
      <c r="W37" s="208"/>
      <c r="X37" s="208"/>
      <c r="Y37" s="208"/>
      <c r="Z37" s="208"/>
      <c r="AA37" s="208"/>
      <c r="AB37" s="208"/>
      <c r="AC37" s="208"/>
    </row>
    <row r="38" spans="1:29" ht="21" customHeight="1" x14ac:dyDescent="0.45">
      <c r="B38" s="359" t="s">
        <v>98</v>
      </c>
      <c r="C38" s="360"/>
      <c r="D38" s="213" t="str">
        <f ca="1">IF(D31="-","-",D32+D36-D31)</f>
        <v>-</v>
      </c>
      <c r="E38" s="213" t="str">
        <f ca="1">IF(E31="-","-",E32+D36-E31)</f>
        <v>-</v>
      </c>
      <c r="F38" s="357" t="s">
        <v>100</v>
      </c>
      <c r="G38" s="358"/>
      <c r="H38" s="358"/>
      <c r="I38" s="358"/>
      <c r="J38" s="210"/>
      <c r="K38" s="210"/>
      <c r="L38" s="210"/>
      <c r="M38" s="208"/>
      <c r="N38" s="208"/>
      <c r="O38" s="208"/>
      <c r="P38" s="208"/>
      <c r="Q38" s="208"/>
      <c r="R38" s="208"/>
      <c r="S38" s="208"/>
      <c r="T38" s="208"/>
      <c r="U38" s="208"/>
      <c r="V38" s="208"/>
      <c r="W38" s="208"/>
      <c r="X38" s="208"/>
      <c r="Y38" s="208"/>
      <c r="Z38" s="208"/>
      <c r="AA38" s="208"/>
      <c r="AB38" s="208"/>
      <c r="AC38" s="208"/>
    </row>
    <row r="39" spans="1:29" ht="11.4" customHeight="1" x14ac:dyDescent="0.45">
      <c r="D39" s="209"/>
    </row>
  </sheetData>
  <sheetProtection algorithmName="SHA-512" hashValue="4CwVHinFdi/c84UGcpPn/ua/zkzM5pTiYo4XMPs1vN9ERDGzEUsh3LoSDWS6lAtM7rmYcuVI7ISGry/TVsUmVA==" saltValue="R00D29I481cBFFg4zAXV9A==" spinCount="100000" sheet="1" objects="1" scenarios="1"/>
  <mergeCells count="29">
    <mergeCell ref="B21:C21"/>
    <mergeCell ref="G12:J12"/>
    <mergeCell ref="G13:J13"/>
    <mergeCell ref="D11:E11"/>
    <mergeCell ref="D10:E10"/>
    <mergeCell ref="B12:C12"/>
    <mergeCell ref="E20:G20"/>
    <mergeCell ref="D5:F5"/>
    <mergeCell ref="G10:J10"/>
    <mergeCell ref="G9:J9"/>
    <mergeCell ref="I20:L20"/>
    <mergeCell ref="G11:J11"/>
    <mergeCell ref="G16:H16"/>
    <mergeCell ref="G15:H15"/>
    <mergeCell ref="B37:C37"/>
    <mergeCell ref="B38:C38"/>
    <mergeCell ref="B29:E29"/>
    <mergeCell ref="B32:C32"/>
    <mergeCell ref="B30:C30"/>
    <mergeCell ref="B31:C31"/>
    <mergeCell ref="B33:C33"/>
    <mergeCell ref="B36:C36"/>
    <mergeCell ref="B34:E34"/>
    <mergeCell ref="N2:V6"/>
    <mergeCell ref="F28:H28"/>
    <mergeCell ref="F29:H29"/>
    <mergeCell ref="F30:H30"/>
    <mergeCell ref="F38:I38"/>
    <mergeCell ref="F37:J37"/>
  </mergeCells>
  <phoneticPr fontId="2"/>
  <conditionalFormatting sqref="C25">
    <cfRule type="expression" dxfId="9" priority="22">
      <formula>$P$15=1</formula>
    </cfRule>
    <cfRule type="expression" dxfId="8" priority="23">
      <formula>$P$15=2</formula>
    </cfRule>
  </conditionalFormatting>
  <conditionalFormatting sqref="E30:E33 E37:E38">
    <cfRule type="expression" dxfId="7" priority="21">
      <formula>$F$9&gt;0</formula>
    </cfRule>
  </conditionalFormatting>
  <conditionalFormatting sqref="G9:J9">
    <cfRule type="expression" dxfId="6" priority="24">
      <formula>$N$16=1</formula>
    </cfRule>
  </conditionalFormatting>
  <conditionalFormatting sqref="I31">
    <cfRule type="expression" dxfId="5" priority="4">
      <formula>$I$31&gt;2000</formula>
    </cfRule>
    <cfRule type="expression" dxfId="4" priority="6">
      <formula>$I$31&gt;2000</formula>
    </cfRule>
  </conditionalFormatting>
  <conditionalFormatting sqref="J31">
    <cfRule type="expression" dxfId="3" priority="3">
      <formula>$J$31&gt;2000</formula>
    </cfRule>
    <cfRule type="expression" dxfId="2" priority="5">
      <formula>$J$31&gt;2000</formula>
    </cfRule>
  </conditionalFormatting>
  <conditionalFormatting sqref="D31">
    <cfRule type="expression" dxfId="1" priority="2">
      <formula>$D$31&gt;2000</formula>
    </cfRule>
  </conditionalFormatting>
  <conditionalFormatting sqref="E31">
    <cfRule type="expression" dxfId="0" priority="1">
      <formula>$E$31&gt;2000</formula>
    </cfRule>
  </conditionalFormatting>
  <pageMargins left="0.7" right="0.7" top="0.75" bottom="0.75" header="0.3" footer="0.3"/>
  <ignoredErrors>
    <ignoredError sqref="A12:C12 A38:XFD1048576 F36:XFD36 A35:A36 C35:XFD35 A15:D15 A13:B14 D13:D14 A7:M7 A5:B5 E5:M5 A9:D9 A10:C11 K13:M13 A17:XFD19 A16 I15:M16 J14:M14 E16 K9:M12 Q15:XFD16 A1:M3 A8:M8 U8:XFD10 P11:XFD13 A6:M6 X1:XFD6 W7:XFD7 A32:G32 A31:C31 A30:E30 A29:E29 K29:N29 A34:H34 A33:C33 E33:XFD33 A28:E28 A26:H27 L26:XFD26 K28:N28 K31:N31 K30:N30 A22:XFD25 A20 D20:XFD20 Q29:XFD29 L27:N27 Q27:XFD27 Q28:XFD28 Q31:XFD31 Q30:XFD30 K32:XFD32 K34:XFD34 A21 D21:XFD21 O14:XFD14 A4 D4:M4 A37:C37 F37:XFD37" unlocked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6157" r:id="rId3" name="Scroll Bar 13">
              <controlPr defaultSize="0" autoPict="0">
                <anchor moveWithCells="1">
                  <from>
                    <xdr:col>1</xdr:col>
                    <xdr:colOff>7620</xdr:colOff>
                    <xdr:row>26</xdr:row>
                    <xdr:rowOff>7620</xdr:rowOff>
                  </from>
                  <to>
                    <xdr:col>5</xdr:col>
                    <xdr:colOff>7620</xdr:colOff>
                    <xdr:row>26</xdr:row>
                    <xdr:rowOff>243840</xdr:rowOff>
                  </to>
                </anchor>
              </controlPr>
            </control>
          </mc:Choice>
        </mc:AlternateContent>
        <mc:AlternateContent xmlns:mc="http://schemas.openxmlformats.org/markup-compatibility/2006">
          <mc:Choice Requires="x14">
            <control shapeId="6158" r:id="rId4" name="Spinner 14">
              <controlPr locked="0" defaultSize="0" autoPict="0">
                <anchor moveWithCells="1" sizeWithCells="1">
                  <from>
                    <xdr:col>2</xdr:col>
                    <xdr:colOff>822960</xdr:colOff>
                    <xdr:row>12</xdr:row>
                    <xdr:rowOff>15240</xdr:rowOff>
                  </from>
                  <to>
                    <xdr:col>2</xdr:col>
                    <xdr:colOff>967740</xdr:colOff>
                    <xdr:row>12</xdr:row>
                    <xdr:rowOff>251460</xdr:rowOff>
                  </to>
                </anchor>
              </controlPr>
            </control>
          </mc:Choice>
        </mc:AlternateContent>
        <mc:AlternateContent xmlns:mc="http://schemas.openxmlformats.org/markup-compatibility/2006">
          <mc:Choice Requires="x14">
            <control shapeId="6159" r:id="rId5" name="Spinner 15">
              <controlPr defaultSize="0" autoPict="0">
                <anchor moveWithCells="1" sizeWithCells="1">
                  <from>
                    <xdr:col>2</xdr:col>
                    <xdr:colOff>792480</xdr:colOff>
                    <xdr:row>13</xdr:row>
                    <xdr:rowOff>7620</xdr:rowOff>
                  </from>
                  <to>
                    <xdr:col>2</xdr:col>
                    <xdr:colOff>975360</xdr:colOff>
                    <xdr:row>13</xdr:row>
                    <xdr:rowOff>259080</xdr:rowOff>
                  </to>
                </anchor>
              </controlPr>
            </control>
          </mc:Choice>
        </mc:AlternateContent>
        <mc:AlternateContent xmlns:mc="http://schemas.openxmlformats.org/markup-compatibility/2006">
          <mc:Choice Requires="x14">
            <control shapeId="6160" r:id="rId6" name="Spinner 16">
              <controlPr defaultSize="0" autoPict="0">
                <anchor moveWithCells="1" sizeWithCells="1">
                  <from>
                    <xdr:col>2</xdr:col>
                    <xdr:colOff>792480</xdr:colOff>
                    <xdr:row>14</xdr:row>
                    <xdr:rowOff>7620</xdr:rowOff>
                  </from>
                  <to>
                    <xdr:col>2</xdr:col>
                    <xdr:colOff>975360</xdr:colOff>
                    <xdr:row>14</xdr:row>
                    <xdr:rowOff>259080</xdr:rowOff>
                  </to>
                </anchor>
              </controlPr>
            </control>
          </mc:Choice>
        </mc:AlternateContent>
        <mc:AlternateContent xmlns:mc="http://schemas.openxmlformats.org/markup-compatibility/2006">
          <mc:Choice Requires="x14">
            <control shapeId="6161" r:id="rId7" name="Spinner 17">
              <controlPr defaultSize="0" autoPict="0">
                <anchor moveWithCells="1" sizeWithCells="1">
                  <from>
                    <xdr:col>2</xdr:col>
                    <xdr:colOff>792480</xdr:colOff>
                    <xdr:row>13</xdr:row>
                    <xdr:rowOff>7620</xdr:rowOff>
                  </from>
                  <to>
                    <xdr:col>2</xdr:col>
                    <xdr:colOff>975360</xdr:colOff>
                    <xdr:row>13</xdr:row>
                    <xdr:rowOff>259080</xdr:rowOff>
                  </to>
                </anchor>
              </controlPr>
            </control>
          </mc:Choice>
        </mc:AlternateContent>
        <mc:AlternateContent xmlns:mc="http://schemas.openxmlformats.org/markup-compatibility/2006">
          <mc:Choice Requires="x14">
            <control shapeId="6162" r:id="rId8" name="Spinner 18">
              <controlPr defaultSize="0" autoPict="0">
                <anchor moveWithCells="1" sizeWithCells="1">
                  <from>
                    <xdr:col>2</xdr:col>
                    <xdr:colOff>792480</xdr:colOff>
                    <xdr:row>14</xdr:row>
                    <xdr:rowOff>7620</xdr:rowOff>
                  </from>
                  <to>
                    <xdr:col>2</xdr:col>
                    <xdr:colOff>975360</xdr:colOff>
                    <xdr:row>14</xdr:row>
                    <xdr:rowOff>259080</xdr:rowOff>
                  </to>
                </anchor>
              </controlPr>
            </control>
          </mc:Choice>
        </mc:AlternateContent>
        <mc:AlternateContent xmlns:mc="http://schemas.openxmlformats.org/markup-compatibility/2006">
          <mc:Choice Requires="x14">
            <control shapeId="6163" r:id="rId9" name="Spinner 19">
              <controlPr locked="0" defaultSize="0" autoPict="0">
                <anchor moveWithCells="1" sizeWithCells="1">
                  <from>
                    <xdr:col>2</xdr:col>
                    <xdr:colOff>822960</xdr:colOff>
                    <xdr:row>13</xdr:row>
                    <xdr:rowOff>15240</xdr:rowOff>
                  </from>
                  <to>
                    <xdr:col>2</xdr:col>
                    <xdr:colOff>967740</xdr:colOff>
                    <xdr:row>13</xdr:row>
                    <xdr:rowOff>251460</xdr:rowOff>
                  </to>
                </anchor>
              </controlPr>
            </control>
          </mc:Choice>
        </mc:AlternateContent>
        <mc:AlternateContent xmlns:mc="http://schemas.openxmlformats.org/markup-compatibility/2006">
          <mc:Choice Requires="x14">
            <control shapeId="6164" r:id="rId10" name="Spinner 20">
              <controlPr locked="0" defaultSize="0" autoPict="0">
                <anchor moveWithCells="1" sizeWithCells="1">
                  <from>
                    <xdr:col>2</xdr:col>
                    <xdr:colOff>822960</xdr:colOff>
                    <xdr:row>14</xdr:row>
                    <xdr:rowOff>15240</xdr:rowOff>
                  </from>
                  <to>
                    <xdr:col>2</xdr:col>
                    <xdr:colOff>967740</xdr:colOff>
                    <xdr:row>14</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82AC3BB5-1DA8-4737-B1EE-DA7ABA21ED86}">
          <x14:formula1>
            <xm:f>'ふるさと納税最適額計算（非表示）'!$G$53:$G$54</xm:f>
          </x14:formula1>
          <xm:sqref>H20:H21</xm:sqref>
        </x14:dataValidation>
        <x14:dataValidation type="list" allowBlank="1" showInputMessage="1" showErrorMessage="1" xr:uid="{665BC4C2-B3D4-477D-B2E6-3D3708CFC07B}">
          <x14:formula1>
            <xm:f>'ふるさと納税最適額計算（非表示）'!$J$49:$J$55</xm:f>
          </x14:formula1>
          <xm:sqref>B36:C36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77C87-068C-4048-919A-F39B9C9629ED}">
  <sheetPr codeName="Sheet3"/>
  <dimension ref="A1:A31"/>
  <sheetViews>
    <sheetView topLeftCell="A26" zoomScale="70" zoomScaleNormal="50" workbookViewId="0">
      <selection activeCell="Y27" sqref="Y27"/>
    </sheetView>
  </sheetViews>
  <sheetFormatPr defaultColWidth="8.796875" defaultRowHeight="18.600000000000001" x14ac:dyDescent="0.45"/>
  <cols>
    <col min="1" max="16384" width="8.796875" style="175"/>
  </cols>
  <sheetData>
    <row r="1" spans="1:1" ht="21.6" customHeight="1" x14ac:dyDescent="0.45">
      <c r="A1" s="223" t="s">
        <v>83</v>
      </c>
    </row>
    <row r="29" spans="1:1" x14ac:dyDescent="0.45">
      <c r="A29" s="223" t="s">
        <v>84</v>
      </c>
    </row>
    <row r="31" spans="1:1" x14ac:dyDescent="0.45">
      <c r="A31" s="176"/>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ふるさと納税最適額計算（非表示）</vt:lpstr>
      <vt:lpstr>ふるさと納税自己負担計算シート</vt:lpstr>
      <vt:lpstr>（参考）住宅ローン減税 制度概要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貴博 市川</dc:creator>
  <cp:lastModifiedBy>TAKAHIRO ICHIKAWA</cp:lastModifiedBy>
  <cp:lastPrinted>2024-04-06T03:31:41Z</cp:lastPrinted>
  <dcterms:created xsi:type="dcterms:W3CDTF">2024-04-01T00:53:46Z</dcterms:created>
  <dcterms:modified xsi:type="dcterms:W3CDTF">2024-11-13T00:26:50Z</dcterms:modified>
</cp:coreProperties>
</file>