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YouTube\ニュース056（止まらない金利上昇）\"/>
    </mc:Choice>
  </mc:AlternateContent>
  <xr:revisionPtr revIDLastSave="0" documentId="13_ncr:1_{9DBC84ED-30D2-4794-937C-15D9DD57C4CC}" xr6:coauthVersionLast="47" xr6:coauthVersionMax="47" xr10:uidLastSave="{00000000-0000-0000-0000-000000000000}"/>
  <workbookProtection workbookAlgorithmName="SHA-512" workbookHashValue="e9lsS/P+x6unslVEj08JQeYRcBjGhwZTBDH0N/HZNJzEoEDLxBumXMAYUbl5m8tTTeJSbV7RQyyreUbtpVNf4w==" workbookSaltValue="h1qCz3mzmkK5o0Idfx9tfw==" workbookSpinCount="100000" lockStructure="1"/>
  <bookViews>
    <workbookView xWindow="-108" yWindow="-108" windowWidth="23256" windowHeight="13896" activeTab="1" xr2:uid="{00000000-000D-0000-FFFF-FFFF00000000}"/>
  </bookViews>
  <sheets>
    <sheet name="結果サマリー" sheetId="1" r:id="rId1"/>
    <sheet name="入力設定" sheetId="2" r:id="rId2"/>
    <sheet name="月次返済表" sheetId="3" r:id="rId3"/>
    <sheet name="使い方と検証" sheetId="4" r:id="rId4"/>
  </sheets>
  <definedNames>
    <definedName name="_xlnm.Print_Area" localSheetId="0">結果サマリー!$A$1:$H$101</definedName>
    <definedName name="_xlnm.Print_Area" localSheetId="2">月次返済表!$A$1:$I$605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I4" i="1" s="1"/>
  <c r="H5" i="1" s="1"/>
  <c r="A6" i="3" s="1"/>
  <c r="L6" i="1"/>
  <c r="B27" i="4"/>
  <c r="B605" i="3"/>
  <c r="A605" i="3"/>
  <c r="A604" i="3"/>
  <c r="A603" i="3"/>
  <c r="A602" i="3"/>
  <c r="A601" i="3"/>
  <c r="A600" i="3"/>
  <c r="A599" i="3"/>
  <c r="B598" i="3"/>
  <c r="A598" i="3"/>
  <c r="A597" i="3"/>
  <c r="A596" i="3"/>
  <c r="A595" i="3"/>
  <c r="A594" i="3"/>
  <c r="A593" i="3"/>
  <c r="B592" i="3"/>
  <c r="A592" i="3"/>
  <c r="A591" i="3"/>
  <c r="A590" i="3"/>
  <c r="A589" i="3"/>
  <c r="A588" i="3"/>
  <c r="A587" i="3"/>
  <c r="A586" i="3"/>
  <c r="A585" i="3"/>
  <c r="A584" i="3"/>
  <c r="B583" i="3"/>
  <c r="A583" i="3"/>
  <c r="A582" i="3"/>
  <c r="A581" i="3"/>
  <c r="B580" i="3"/>
  <c r="A580" i="3"/>
  <c r="A579" i="3"/>
  <c r="A578" i="3"/>
  <c r="A577" i="3"/>
  <c r="B576" i="3"/>
  <c r="A576" i="3"/>
  <c r="B575" i="3"/>
  <c r="A575" i="3"/>
  <c r="A574" i="3"/>
  <c r="A573" i="3"/>
  <c r="B572" i="3"/>
  <c r="A572" i="3"/>
  <c r="B571" i="3"/>
  <c r="A571" i="3"/>
  <c r="A570" i="3"/>
  <c r="A569" i="3"/>
  <c r="A568" i="3"/>
  <c r="A567" i="3"/>
  <c r="B566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C546" i="3"/>
  <c r="A546" i="3"/>
  <c r="A545" i="3"/>
  <c r="A544" i="3"/>
  <c r="B543" i="3"/>
  <c r="A543" i="3"/>
  <c r="A542" i="3"/>
  <c r="A541" i="3"/>
  <c r="B540" i="3"/>
  <c r="A540" i="3"/>
  <c r="B539" i="3"/>
  <c r="A539" i="3"/>
  <c r="A538" i="3"/>
  <c r="A537" i="3"/>
  <c r="A536" i="3"/>
  <c r="A535" i="3"/>
  <c r="A534" i="3"/>
  <c r="A533" i="3"/>
  <c r="A532" i="3"/>
  <c r="A531" i="3"/>
  <c r="AF530" i="3"/>
  <c r="AE530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B476" i="3"/>
  <c r="A476" i="3"/>
  <c r="B475" i="3"/>
  <c r="A475" i="3"/>
  <c r="A474" i="3"/>
  <c r="A473" i="3"/>
  <c r="B472" i="3"/>
  <c r="A472" i="3"/>
  <c r="A471" i="3"/>
  <c r="B470" i="3"/>
  <c r="A470" i="3"/>
  <c r="A469" i="3"/>
  <c r="B468" i="3"/>
  <c r="A468" i="3"/>
  <c r="A467" i="3"/>
  <c r="B466" i="3"/>
  <c r="A466" i="3"/>
  <c r="A465" i="3"/>
  <c r="A464" i="3"/>
  <c r="A463" i="3"/>
  <c r="A462" i="3"/>
  <c r="A461" i="3"/>
  <c r="A460" i="3"/>
  <c r="A459" i="3"/>
  <c r="C458" i="3"/>
  <c r="B458" i="3"/>
  <c r="A458" i="3"/>
  <c r="A457" i="3"/>
  <c r="B456" i="3"/>
  <c r="A456" i="3"/>
  <c r="A455" i="3"/>
  <c r="AF454" i="3"/>
  <c r="AE454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B392" i="3"/>
  <c r="A392" i="3"/>
  <c r="B391" i="3"/>
  <c r="A391" i="3"/>
  <c r="C390" i="3"/>
  <c r="B390" i="3"/>
  <c r="A390" i="3"/>
  <c r="C389" i="3"/>
  <c r="B389" i="3"/>
  <c r="A389" i="3"/>
  <c r="B388" i="3"/>
  <c r="A388" i="3"/>
  <c r="A387" i="3"/>
  <c r="A386" i="3"/>
  <c r="C385" i="3"/>
  <c r="B385" i="3"/>
  <c r="A385" i="3"/>
  <c r="B384" i="3"/>
  <c r="A384" i="3"/>
  <c r="A383" i="3"/>
  <c r="A382" i="3"/>
  <c r="A381" i="3"/>
  <c r="A380" i="3"/>
  <c r="A379" i="3"/>
  <c r="AE378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B333" i="3"/>
  <c r="A333" i="3"/>
  <c r="B332" i="3"/>
  <c r="A332" i="3"/>
  <c r="A331" i="3"/>
  <c r="A330" i="3"/>
  <c r="B329" i="3"/>
  <c r="A329" i="3"/>
  <c r="B328" i="3"/>
  <c r="A328" i="3"/>
  <c r="B327" i="3"/>
  <c r="A327" i="3"/>
  <c r="B326" i="3"/>
  <c r="A326" i="3"/>
  <c r="B325" i="3"/>
  <c r="A325" i="3"/>
  <c r="A324" i="3"/>
  <c r="B323" i="3"/>
  <c r="A323" i="3"/>
  <c r="B322" i="3"/>
  <c r="A322" i="3"/>
  <c r="C321" i="3"/>
  <c r="B321" i="3"/>
  <c r="A321" i="3"/>
  <c r="A320" i="3"/>
  <c r="B319" i="3"/>
  <c r="A319" i="3"/>
  <c r="B318" i="3"/>
  <c r="A318" i="3"/>
  <c r="A317" i="3"/>
  <c r="B316" i="3"/>
  <c r="A316" i="3"/>
  <c r="A315" i="3"/>
  <c r="A314" i="3"/>
  <c r="B313" i="3"/>
  <c r="A313" i="3"/>
  <c r="B312" i="3"/>
  <c r="A312" i="3"/>
  <c r="B311" i="3"/>
  <c r="A311" i="3"/>
  <c r="A310" i="3"/>
  <c r="A309" i="3"/>
  <c r="C308" i="3"/>
  <c r="B308" i="3"/>
  <c r="A308" i="3"/>
  <c r="B307" i="3"/>
  <c r="A307" i="3"/>
  <c r="B306" i="3"/>
  <c r="A306" i="3"/>
  <c r="C305" i="3"/>
  <c r="B305" i="3"/>
  <c r="A305" i="3"/>
  <c r="B304" i="3"/>
  <c r="A304" i="3"/>
  <c r="AE303" i="3"/>
  <c r="J303" i="3"/>
  <c r="C303" i="3"/>
  <c r="AF303" i="3" s="1"/>
  <c r="A303" i="3"/>
  <c r="B303" i="3" s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C258" i="3"/>
  <c r="B258" i="3"/>
  <c r="A258" i="3"/>
  <c r="C257" i="3"/>
  <c r="B257" i="3"/>
  <c r="A257" i="3"/>
  <c r="A256" i="3"/>
  <c r="B255" i="3"/>
  <c r="A255" i="3"/>
  <c r="B254" i="3"/>
  <c r="A254" i="3"/>
  <c r="B253" i="3"/>
  <c r="A253" i="3"/>
  <c r="A252" i="3"/>
  <c r="A251" i="3"/>
  <c r="C250" i="3"/>
  <c r="A250" i="3"/>
  <c r="A249" i="3"/>
  <c r="B248" i="3"/>
  <c r="A248" i="3"/>
  <c r="A247" i="3"/>
  <c r="A246" i="3"/>
  <c r="B245" i="3"/>
  <c r="A245" i="3"/>
  <c r="B244" i="3"/>
  <c r="A244" i="3"/>
  <c r="C243" i="3"/>
  <c r="B243" i="3"/>
  <c r="A243" i="3"/>
  <c r="A242" i="3"/>
  <c r="A241" i="3"/>
  <c r="B240" i="3"/>
  <c r="A240" i="3"/>
  <c r="B239" i="3"/>
  <c r="A239" i="3"/>
  <c r="A238" i="3"/>
  <c r="B237" i="3"/>
  <c r="A237" i="3"/>
  <c r="B236" i="3"/>
  <c r="A236" i="3"/>
  <c r="B235" i="3"/>
  <c r="A235" i="3"/>
  <c r="B234" i="3"/>
  <c r="A234" i="3"/>
  <c r="C233" i="3"/>
  <c r="B233" i="3"/>
  <c r="A233" i="3"/>
  <c r="B232" i="3"/>
  <c r="A232" i="3"/>
  <c r="B231" i="3"/>
  <c r="A231" i="3"/>
  <c r="C230" i="3"/>
  <c r="B230" i="3"/>
  <c r="A230" i="3"/>
  <c r="B229" i="3"/>
  <c r="A229" i="3"/>
  <c r="B228" i="3"/>
  <c r="A228" i="3"/>
  <c r="AE227" i="3"/>
  <c r="J227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E151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E75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B24" i="3"/>
  <c r="A24" i="3"/>
  <c r="A23" i="3"/>
  <c r="A22" i="3"/>
  <c r="A21" i="3"/>
  <c r="B20" i="3"/>
  <c r="A20" i="3"/>
  <c r="B19" i="3"/>
  <c r="A19" i="3"/>
  <c r="A18" i="3"/>
  <c r="B17" i="3"/>
  <c r="A17" i="3"/>
  <c r="A16" i="3"/>
  <c r="A15" i="3"/>
  <c r="A14" i="3"/>
  <c r="A13" i="3"/>
  <c r="A12" i="3"/>
  <c r="A11" i="3"/>
  <c r="A10" i="3"/>
  <c r="B9" i="3"/>
  <c r="A9" i="3"/>
  <c r="A8" i="3"/>
  <c r="B7" i="3"/>
  <c r="A7" i="3"/>
  <c r="AC6" i="3"/>
  <c r="Z6" i="3"/>
  <c r="P6" i="3"/>
  <c r="E6" i="3"/>
  <c r="D6" i="3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B15" i="1"/>
  <c r="D11" i="1"/>
  <c r="B9" i="1"/>
  <c r="D8" i="1"/>
  <c r="B8" i="1"/>
  <c r="M6" i="1"/>
  <c r="AF605" i="3" l="1"/>
  <c r="AE605" i="3"/>
  <c r="J605" i="3"/>
  <c r="C605" i="3"/>
  <c r="AF604" i="3"/>
  <c r="AE604" i="3"/>
  <c r="J604" i="3"/>
  <c r="C604" i="3"/>
  <c r="B604" i="3"/>
  <c r="AF603" i="3"/>
  <c r="AE603" i="3"/>
  <c r="J603" i="3"/>
  <c r="B603" i="3"/>
  <c r="C603" i="3"/>
  <c r="AF602" i="3"/>
  <c r="C602" i="3"/>
  <c r="B602" i="3"/>
  <c r="J602" i="3"/>
  <c r="AE602" i="3"/>
  <c r="AE601" i="3"/>
  <c r="C601" i="3"/>
  <c r="J601" i="3"/>
  <c r="B601" i="3"/>
  <c r="AF601" i="3"/>
  <c r="AE600" i="3"/>
  <c r="J600" i="3"/>
  <c r="B600" i="3"/>
  <c r="AF600" i="3"/>
  <c r="C600" i="3"/>
  <c r="AE599" i="3"/>
  <c r="C599" i="3"/>
  <c r="AF599" i="3"/>
  <c r="J599" i="3"/>
  <c r="B599" i="3"/>
  <c r="AF598" i="3"/>
  <c r="AE598" i="3"/>
  <c r="C598" i="3"/>
  <c r="J598" i="3"/>
  <c r="B597" i="3"/>
  <c r="AE597" i="3"/>
  <c r="AF597" i="3"/>
  <c r="J597" i="3"/>
  <c r="C597" i="3"/>
  <c r="J596" i="3"/>
  <c r="C596" i="3"/>
  <c r="B596" i="3"/>
  <c r="AF596" i="3"/>
  <c r="AE596" i="3"/>
  <c r="J595" i="3"/>
  <c r="B595" i="3"/>
  <c r="AF595" i="3"/>
  <c r="C595" i="3"/>
  <c r="AE595" i="3"/>
  <c r="AF594" i="3"/>
  <c r="J594" i="3"/>
  <c r="B594" i="3"/>
  <c r="C594" i="3"/>
  <c r="AE594" i="3"/>
  <c r="AE593" i="3"/>
  <c r="B593" i="3"/>
  <c r="J593" i="3"/>
  <c r="AF593" i="3"/>
  <c r="C593" i="3"/>
  <c r="AE592" i="3"/>
  <c r="J592" i="3"/>
  <c r="C592" i="3"/>
  <c r="AF592" i="3"/>
  <c r="AF591" i="3"/>
  <c r="AE591" i="3"/>
  <c r="J591" i="3"/>
  <c r="B591" i="3"/>
  <c r="C591" i="3"/>
  <c r="AF590" i="3"/>
  <c r="B590" i="3"/>
  <c r="C590" i="3"/>
  <c r="J590" i="3"/>
  <c r="AE590" i="3"/>
  <c r="AF589" i="3"/>
  <c r="AE589" i="3"/>
  <c r="B589" i="3"/>
  <c r="J589" i="3"/>
  <c r="C589" i="3"/>
  <c r="AF588" i="3"/>
  <c r="AE588" i="3"/>
  <c r="B588" i="3"/>
  <c r="J588" i="3"/>
  <c r="C588" i="3"/>
  <c r="C587" i="3"/>
  <c r="B587" i="3"/>
  <c r="AF587" i="3"/>
  <c r="AE587" i="3"/>
  <c r="J587" i="3"/>
  <c r="AE586" i="3"/>
  <c r="B586" i="3"/>
  <c r="AF586" i="3"/>
  <c r="J586" i="3"/>
  <c r="C586" i="3"/>
  <c r="C585" i="3"/>
  <c r="B585" i="3"/>
  <c r="AF585" i="3"/>
  <c r="AE585" i="3"/>
  <c r="J585" i="3"/>
  <c r="J584" i="3"/>
  <c r="C584" i="3"/>
  <c r="B584" i="3"/>
  <c r="AE584" i="3"/>
  <c r="AF584" i="3"/>
  <c r="AE583" i="3"/>
  <c r="AF583" i="3"/>
  <c r="J583" i="3"/>
  <c r="C583" i="3"/>
  <c r="AF582" i="3"/>
  <c r="AE582" i="3"/>
  <c r="B582" i="3"/>
  <c r="J582" i="3"/>
  <c r="C582" i="3"/>
  <c r="AF581" i="3"/>
  <c r="C581" i="3"/>
  <c r="AE581" i="3"/>
  <c r="J581" i="3"/>
  <c r="B581" i="3"/>
  <c r="AE580" i="3"/>
  <c r="AF580" i="3"/>
  <c r="C580" i="3"/>
  <c r="J580" i="3"/>
  <c r="C579" i="3"/>
  <c r="J579" i="3"/>
  <c r="AE579" i="3"/>
  <c r="B579" i="3"/>
  <c r="AF579" i="3"/>
  <c r="J578" i="3"/>
  <c r="AF578" i="3"/>
  <c r="AE578" i="3"/>
  <c r="C578" i="3"/>
  <c r="B578" i="3"/>
  <c r="AF577" i="3"/>
  <c r="AE577" i="3"/>
  <c r="J577" i="3"/>
  <c r="B577" i="3"/>
  <c r="C577" i="3"/>
  <c r="AE576" i="3"/>
  <c r="AF576" i="3"/>
  <c r="C576" i="3"/>
  <c r="J576" i="3"/>
  <c r="AF575" i="3"/>
  <c r="AE575" i="3"/>
  <c r="C575" i="3"/>
  <c r="J575" i="3"/>
  <c r="C574" i="3"/>
  <c r="J574" i="3"/>
  <c r="B574" i="3"/>
  <c r="AE574" i="3"/>
  <c r="AF574" i="3"/>
  <c r="AE573" i="3"/>
  <c r="B573" i="3"/>
  <c r="J573" i="3"/>
  <c r="AF573" i="3"/>
  <c r="C573" i="3"/>
  <c r="J572" i="3"/>
  <c r="C572" i="3"/>
  <c r="AF572" i="3"/>
  <c r="AE572" i="3"/>
  <c r="AF571" i="3"/>
  <c r="AE571" i="3"/>
  <c r="C571" i="3"/>
  <c r="J571" i="3"/>
  <c r="B570" i="3"/>
  <c r="C570" i="3"/>
  <c r="AE570" i="3"/>
  <c r="AF570" i="3"/>
  <c r="J570" i="3"/>
  <c r="B569" i="3"/>
  <c r="C569" i="3"/>
  <c r="J569" i="3"/>
  <c r="AE569" i="3"/>
  <c r="AF569" i="3"/>
  <c r="B568" i="3"/>
  <c r="C568" i="3"/>
  <c r="J568" i="3"/>
  <c r="AF568" i="3"/>
  <c r="AE568" i="3"/>
  <c r="AE567" i="3"/>
  <c r="AF567" i="3"/>
  <c r="B567" i="3"/>
  <c r="J567" i="3"/>
  <c r="C567" i="3"/>
  <c r="C566" i="3"/>
  <c r="J566" i="3"/>
  <c r="AE566" i="3"/>
  <c r="AF566" i="3"/>
  <c r="B565" i="3"/>
  <c r="AE565" i="3"/>
  <c r="AF565" i="3"/>
  <c r="C565" i="3"/>
  <c r="J565" i="3"/>
  <c r="AF564" i="3"/>
  <c r="B564" i="3"/>
  <c r="J564" i="3"/>
  <c r="AE564" i="3"/>
  <c r="C564" i="3"/>
  <c r="AF563" i="3"/>
  <c r="B563" i="3"/>
  <c r="AE563" i="3"/>
  <c r="J563" i="3"/>
  <c r="C563" i="3"/>
  <c r="B562" i="3"/>
  <c r="AF562" i="3"/>
  <c r="AE562" i="3"/>
  <c r="J562" i="3"/>
  <c r="C562" i="3"/>
  <c r="AF561" i="3"/>
  <c r="J561" i="3"/>
  <c r="C561" i="3"/>
  <c r="AE561" i="3"/>
  <c r="B561" i="3"/>
  <c r="B560" i="3"/>
  <c r="AF560" i="3"/>
  <c r="C560" i="3"/>
  <c r="J560" i="3"/>
  <c r="AE560" i="3"/>
  <c r="AE559" i="3"/>
  <c r="AF559" i="3"/>
  <c r="C559" i="3"/>
  <c r="J559" i="3"/>
  <c r="B559" i="3"/>
  <c r="B558" i="3"/>
  <c r="J558" i="3"/>
  <c r="AE558" i="3"/>
  <c r="C558" i="3"/>
  <c r="AF558" i="3"/>
  <c r="C557" i="3"/>
  <c r="AF557" i="3"/>
  <c r="AE557" i="3"/>
  <c r="J557" i="3"/>
  <c r="B557" i="3"/>
  <c r="AF556" i="3"/>
  <c r="J556" i="3"/>
  <c r="B556" i="3"/>
  <c r="AE556" i="3"/>
  <c r="C556" i="3"/>
  <c r="AF555" i="3"/>
  <c r="B555" i="3"/>
  <c r="AE555" i="3"/>
  <c r="J555" i="3"/>
  <c r="C555" i="3"/>
  <c r="AE554" i="3"/>
  <c r="C554" i="3"/>
  <c r="J554" i="3"/>
  <c r="AF554" i="3"/>
  <c r="B554" i="3"/>
  <c r="B553" i="3"/>
  <c r="C553" i="3"/>
  <c r="J553" i="3"/>
  <c r="AE553" i="3"/>
  <c r="AF553" i="3"/>
  <c r="B552" i="3"/>
  <c r="C552" i="3"/>
  <c r="J552" i="3"/>
  <c r="AE552" i="3"/>
  <c r="AF552" i="3"/>
  <c r="B551" i="3"/>
  <c r="C551" i="3"/>
  <c r="J551" i="3"/>
  <c r="AE551" i="3"/>
  <c r="AF551" i="3"/>
  <c r="J550" i="3"/>
  <c r="AE550" i="3"/>
  <c r="AF550" i="3"/>
  <c r="B550" i="3"/>
  <c r="C550" i="3"/>
  <c r="C549" i="3"/>
  <c r="B549" i="3"/>
  <c r="AF549" i="3"/>
  <c r="AE549" i="3"/>
  <c r="J549" i="3"/>
  <c r="C548" i="3"/>
  <c r="AF548" i="3"/>
  <c r="AE548" i="3"/>
  <c r="J548" i="3"/>
  <c r="B548" i="3"/>
  <c r="J547" i="3"/>
  <c r="AF547" i="3"/>
  <c r="AE547" i="3"/>
  <c r="C547" i="3"/>
  <c r="B547" i="3"/>
  <c r="AF546" i="3"/>
  <c r="AE546" i="3"/>
  <c r="B546" i="3"/>
  <c r="J546" i="3"/>
  <c r="J545" i="3"/>
  <c r="B545" i="3"/>
  <c r="AE545" i="3"/>
  <c r="AF545" i="3"/>
  <c r="C545" i="3"/>
  <c r="B544" i="3"/>
  <c r="J544" i="3"/>
  <c r="AF544" i="3"/>
  <c r="C544" i="3"/>
  <c r="AE544" i="3"/>
  <c r="AE543" i="3"/>
  <c r="AF543" i="3"/>
  <c r="C543" i="3"/>
  <c r="J543" i="3"/>
  <c r="C542" i="3"/>
  <c r="J542" i="3"/>
  <c r="B542" i="3"/>
  <c r="AF542" i="3"/>
  <c r="AE542" i="3"/>
  <c r="J541" i="3"/>
  <c r="AF541" i="3"/>
  <c r="AE541" i="3"/>
  <c r="C541" i="3"/>
  <c r="B541" i="3"/>
  <c r="C540" i="3"/>
  <c r="AE540" i="3"/>
  <c r="AF540" i="3"/>
  <c r="J540" i="3"/>
  <c r="C539" i="3"/>
  <c r="AE539" i="3"/>
  <c r="AF539" i="3"/>
  <c r="J539" i="3"/>
  <c r="B538" i="3"/>
  <c r="J538" i="3"/>
  <c r="AE538" i="3"/>
  <c r="AF538" i="3"/>
  <c r="C538" i="3"/>
  <c r="B537" i="3"/>
  <c r="J537" i="3"/>
  <c r="AF537" i="3"/>
  <c r="AE537" i="3"/>
  <c r="C537" i="3"/>
  <c r="B536" i="3"/>
  <c r="J536" i="3"/>
  <c r="AE536" i="3"/>
  <c r="C536" i="3"/>
  <c r="AF536" i="3"/>
  <c r="AF535" i="3"/>
  <c r="AE535" i="3"/>
  <c r="J535" i="3"/>
  <c r="C535" i="3"/>
  <c r="B535" i="3"/>
  <c r="C534" i="3"/>
  <c r="J534" i="3"/>
  <c r="AE534" i="3"/>
  <c r="AF534" i="3"/>
  <c r="B534" i="3"/>
  <c r="AF533" i="3"/>
  <c r="AE533" i="3"/>
  <c r="J533" i="3"/>
  <c r="C533" i="3"/>
  <c r="B533" i="3"/>
  <c r="AF532" i="3"/>
  <c r="J532" i="3"/>
  <c r="B532" i="3"/>
  <c r="AE532" i="3"/>
  <c r="C532" i="3"/>
  <c r="AE531" i="3"/>
  <c r="B531" i="3"/>
  <c r="AF531" i="3"/>
  <c r="J531" i="3"/>
  <c r="C531" i="3"/>
  <c r="J530" i="3"/>
  <c r="C530" i="3"/>
  <c r="B530" i="3"/>
  <c r="B529" i="3"/>
  <c r="AF529" i="3"/>
  <c r="AE529" i="3"/>
  <c r="J529" i="3"/>
  <c r="C529" i="3"/>
  <c r="AE528" i="3"/>
  <c r="J528" i="3"/>
  <c r="C528" i="3"/>
  <c r="B528" i="3"/>
  <c r="AF528" i="3"/>
  <c r="AE527" i="3"/>
  <c r="AF527" i="3"/>
  <c r="J527" i="3"/>
  <c r="C527" i="3"/>
  <c r="B527" i="3"/>
  <c r="AF526" i="3"/>
  <c r="AE526" i="3"/>
  <c r="J526" i="3"/>
  <c r="C526" i="3"/>
  <c r="B526" i="3"/>
  <c r="AE525" i="3"/>
  <c r="B525" i="3"/>
  <c r="C525" i="3"/>
  <c r="J525" i="3"/>
  <c r="AF525" i="3"/>
  <c r="B524" i="3"/>
  <c r="C524" i="3"/>
  <c r="J524" i="3"/>
  <c r="AE524" i="3"/>
  <c r="AF524" i="3"/>
  <c r="AF523" i="3"/>
  <c r="AE523" i="3"/>
  <c r="J523" i="3"/>
  <c r="C523" i="3"/>
  <c r="B523" i="3"/>
  <c r="AF522" i="3"/>
  <c r="AE522" i="3"/>
  <c r="J522" i="3"/>
  <c r="C522" i="3"/>
  <c r="B522" i="3"/>
  <c r="B521" i="3"/>
  <c r="C521" i="3"/>
  <c r="J521" i="3"/>
  <c r="AE521" i="3"/>
  <c r="AF521" i="3"/>
  <c r="B520" i="3"/>
  <c r="AE520" i="3"/>
  <c r="J520" i="3"/>
  <c r="AF520" i="3"/>
  <c r="C520" i="3"/>
  <c r="AE519" i="3"/>
  <c r="J519" i="3"/>
  <c r="C519" i="3"/>
  <c r="B519" i="3"/>
  <c r="AF519" i="3"/>
  <c r="B518" i="3"/>
  <c r="J518" i="3"/>
  <c r="C518" i="3"/>
  <c r="AE518" i="3"/>
  <c r="AF518" i="3"/>
  <c r="C517" i="3"/>
  <c r="B517" i="3"/>
  <c r="AF517" i="3"/>
  <c r="AE517" i="3"/>
  <c r="J517" i="3"/>
  <c r="AE516" i="3"/>
  <c r="J516" i="3"/>
  <c r="C516" i="3"/>
  <c r="B516" i="3"/>
  <c r="AF516" i="3"/>
  <c r="C515" i="3"/>
  <c r="B515" i="3"/>
  <c r="J515" i="3"/>
  <c r="AF515" i="3"/>
  <c r="AE515" i="3"/>
  <c r="AE514" i="3"/>
  <c r="AF514" i="3"/>
  <c r="B514" i="3"/>
  <c r="C514" i="3"/>
  <c r="J514" i="3"/>
  <c r="AE513" i="3"/>
  <c r="AF513" i="3"/>
  <c r="J513" i="3"/>
  <c r="C513" i="3"/>
  <c r="B513" i="3"/>
  <c r="AF512" i="3"/>
  <c r="AE512" i="3"/>
  <c r="J512" i="3"/>
  <c r="C512" i="3"/>
  <c r="B512" i="3"/>
  <c r="J511" i="3"/>
  <c r="C511" i="3"/>
  <c r="B511" i="3"/>
  <c r="AE511" i="3"/>
  <c r="AF511" i="3"/>
  <c r="AE510" i="3"/>
  <c r="B510" i="3"/>
  <c r="AF510" i="3"/>
  <c r="C510" i="3"/>
  <c r="J510" i="3"/>
  <c r="AE509" i="3"/>
  <c r="J509" i="3"/>
  <c r="C509" i="3"/>
  <c r="B509" i="3"/>
  <c r="AF509" i="3"/>
  <c r="AE508" i="3"/>
  <c r="AF508" i="3"/>
  <c r="J508" i="3"/>
  <c r="C508" i="3"/>
  <c r="B508" i="3"/>
  <c r="J507" i="3"/>
  <c r="C507" i="3"/>
  <c r="B507" i="3"/>
  <c r="AE507" i="3"/>
  <c r="AF507" i="3"/>
  <c r="AE506" i="3"/>
  <c r="AF506" i="3"/>
  <c r="B506" i="3"/>
  <c r="C506" i="3"/>
  <c r="J506" i="3"/>
  <c r="AE505" i="3"/>
  <c r="AF505" i="3"/>
  <c r="J505" i="3"/>
  <c r="C505" i="3"/>
  <c r="B505" i="3"/>
  <c r="B504" i="3"/>
  <c r="J504" i="3"/>
  <c r="AE504" i="3"/>
  <c r="C504" i="3"/>
  <c r="AF504" i="3"/>
  <c r="B503" i="3"/>
  <c r="C503" i="3"/>
  <c r="J503" i="3"/>
  <c r="AE503" i="3"/>
  <c r="AF503" i="3"/>
  <c r="AF502" i="3"/>
  <c r="AE502" i="3"/>
  <c r="J502" i="3"/>
  <c r="C502" i="3"/>
  <c r="B502" i="3"/>
  <c r="AF501" i="3"/>
  <c r="AE501" i="3"/>
  <c r="J501" i="3"/>
  <c r="C501" i="3"/>
  <c r="B501" i="3"/>
  <c r="J500" i="3"/>
  <c r="AF500" i="3"/>
  <c r="AE500" i="3"/>
  <c r="C500" i="3"/>
  <c r="B500" i="3"/>
  <c r="J499" i="3"/>
  <c r="AF499" i="3"/>
  <c r="AE499" i="3"/>
  <c r="C499" i="3"/>
  <c r="B499" i="3"/>
  <c r="C498" i="3"/>
  <c r="J498" i="3"/>
  <c r="AE498" i="3"/>
  <c r="B498" i="3"/>
  <c r="AF498" i="3"/>
  <c r="C497" i="3"/>
  <c r="J497" i="3"/>
  <c r="AE497" i="3"/>
  <c r="AF497" i="3"/>
  <c r="B497" i="3"/>
  <c r="AE496" i="3"/>
  <c r="J496" i="3"/>
  <c r="C496" i="3"/>
  <c r="B496" i="3"/>
  <c r="AF496" i="3"/>
  <c r="B495" i="3"/>
  <c r="AF495" i="3"/>
  <c r="AE495" i="3"/>
  <c r="J495" i="3"/>
  <c r="C495" i="3"/>
  <c r="AE494" i="3"/>
  <c r="J494" i="3"/>
  <c r="C494" i="3"/>
  <c r="B494" i="3"/>
  <c r="AF494" i="3"/>
  <c r="B493" i="3"/>
  <c r="AF493" i="3"/>
  <c r="AE493" i="3"/>
  <c r="J493" i="3"/>
  <c r="C493" i="3"/>
  <c r="AE492" i="3"/>
  <c r="J492" i="3"/>
  <c r="C492" i="3"/>
  <c r="B492" i="3"/>
  <c r="AF492" i="3"/>
  <c r="J491" i="3"/>
  <c r="AF491" i="3"/>
  <c r="AE491" i="3"/>
  <c r="C491" i="3"/>
  <c r="B491" i="3"/>
  <c r="C490" i="3"/>
  <c r="B490" i="3"/>
  <c r="AF490" i="3"/>
  <c r="AE490" i="3"/>
  <c r="J490" i="3"/>
  <c r="B489" i="3"/>
  <c r="C489" i="3"/>
  <c r="J489" i="3"/>
  <c r="AE489" i="3"/>
  <c r="AF489" i="3"/>
  <c r="AE488" i="3"/>
  <c r="AF488" i="3"/>
  <c r="J488" i="3"/>
  <c r="C488" i="3"/>
  <c r="B488" i="3"/>
  <c r="AE487" i="3"/>
  <c r="AF487" i="3"/>
  <c r="J487" i="3"/>
  <c r="C487" i="3"/>
  <c r="B487" i="3"/>
  <c r="J486" i="3"/>
  <c r="AE486" i="3"/>
  <c r="B486" i="3"/>
  <c r="C486" i="3"/>
  <c r="AF486" i="3"/>
  <c r="B485" i="3"/>
  <c r="AF485" i="3"/>
  <c r="C485" i="3"/>
  <c r="J485" i="3"/>
  <c r="AE485" i="3"/>
  <c r="AE484" i="3"/>
  <c r="J484" i="3"/>
  <c r="C484" i="3"/>
  <c r="B484" i="3"/>
  <c r="AF484" i="3"/>
  <c r="AE483" i="3"/>
  <c r="J483" i="3"/>
  <c r="C483" i="3"/>
  <c r="B483" i="3"/>
  <c r="AF483" i="3"/>
  <c r="J482" i="3"/>
  <c r="B482" i="3"/>
  <c r="AF482" i="3"/>
  <c r="AE482" i="3"/>
  <c r="C482" i="3"/>
  <c r="AF481" i="3"/>
  <c r="C481" i="3"/>
  <c r="J481" i="3"/>
  <c r="AE481" i="3"/>
  <c r="B481" i="3"/>
  <c r="AE480" i="3"/>
  <c r="J480" i="3"/>
  <c r="B480" i="3"/>
  <c r="AF480" i="3"/>
  <c r="C480" i="3"/>
  <c r="AF479" i="3"/>
  <c r="B479" i="3"/>
  <c r="J479" i="3"/>
  <c r="AE479" i="3"/>
  <c r="C479" i="3"/>
  <c r="AE478" i="3"/>
  <c r="C478" i="3"/>
  <c r="AF478" i="3"/>
  <c r="B478" i="3"/>
  <c r="J478" i="3"/>
  <c r="AF477" i="3"/>
  <c r="C477" i="3"/>
  <c r="J477" i="3"/>
  <c r="B477" i="3"/>
  <c r="AE477" i="3"/>
  <c r="C476" i="3"/>
  <c r="AE476" i="3"/>
  <c r="J476" i="3"/>
  <c r="AF476" i="3"/>
  <c r="J475" i="3"/>
  <c r="AE475" i="3"/>
  <c r="AF475" i="3"/>
  <c r="C475" i="3"/>
  <c r="B474" i="3"/>
  <c r="J474" i="3"/>
  <c r="AE474" i="3"/>
  <c r="AF474" i="3"/>
  <c r="C474" i="3"/>
  <c r="AE473" i="3"/>
  <c r="B473" i="3"/>
  <c r="AF473" i="3"/>
  <c r="J473" i="3"/>
  <c r="C473" i="3"/>
  <c r="J472" i="3"/>
  <c r="AE472" i="3"/>
  <c r="AF472" i="3"/>
  <c r="C472" i="3"/>
  <c r="C471" i="3"/>
  <c r="B471" i="3"/>
  <c r="AE471" i="3"/>
  <c r="AF471" i="3"/>
  <c r="J471" i="3"/>
  <c r="AF470" i="3"/>
  <c r="AE470" i="3"/>
  <c r="C470" i="3"/>
  <c r="J470" i="3"/>
  <c r="B469" i="3"/>
  <c r="J469" i="3"/>
  <c r="AF469" i="3"/>
  <c r="C469" i="3"/>
  <c r="AE469" i="3"/>
  <c r="J468" i="3"/>
  <c r="AF468" i="3"/>
  <c r="AE468" i="3"/>
  <c r="C468" i="3"/>
  <c r="J467" i="3"/>
  <c r="AE467" i="3"/>
  <c r="AF467" i="3"/>
  <c r="C467" i="3"/>
  <c r="B467" i="3"/>
  <c r="AE466" i="3"/>
  <c r="C466" i="3"/>
  <c r="AF466" i="3"/>
  <c r="J466" i="3"/>
  <c r="C465" i="3"/>
  <c r="AF465" i="3"/>
  <c r="J465" i="3"/>
  <c r="AE465" i="3"/>
  <c r="B465" i="3"/>
  <c r="B464" i="3"/>
  <c r="J464" i="3"/>
  <c r="AF464" i="3"/>
  <c r="C464" i="3"/>
  <c r="AE464" i="3"/>
  <c r="B463" i="3"/>
  <c r="J463" i="3"/>
  <c r="AE463" i="3"/>
  <c r="AF463" i="3"/>
  <c r="C463" i="3"/>
  <c r="B462" i="3"/>
  <c r="J462" i="3"/>
  <c r="AE462" i="3"/>
  <c r="AF462" i="3"/>
  <c r="C462" i="3"/>
  <c r="B461" i="3"/>
  <c r="AF461" i="3"/>
  <c r="AE461" i="3"/>
  <c r="J461" i="3"/>
  <c r="C461" i="3"/>
  <c r="C460" i="3"/>
  <c r="AF460" i="3"/>
  <c r="J460" i="3"/>
  <c r="AE460" i="3"/>
  <c r="B460" i="3"/>
  <c r="AF459" i="3"/>
  <c r="B459" i="3"/>
  <c r="J459" i="3"/>
  <c r="AE459" i="3"/>
  <c r="C459" i="3"/>
  <c r="AF458" i="3"/>
  <c r="J458" i="3"/>
  <c r="AE458" i="3"/>
  <c r="AF457" i="3"/>
  <c r="B457" i="3"/>
  <c r="AE457" i="3"/>
  <c r="J457" i="3"/>
  <c r="C457" i="3"/>
  <c r="AE456" i="3"/>
  <c r="J456" i="3"/>
  <c r="C456" i="3"/>
  <c r="AF456" i="3"/>
  <c r="AF455" i="3"/>
  <c r="J455" i="3"/>
  <c r="B455" i="3"/>
  <c r="AE455" i="3"/>
  <c r="C455" i="3"/>
  <c r="J454" i="3"/>
  <c r="C454" i="3"/>
  <c r="B454" i="3"/>
  <c r="AF453" i="3"/>
  <c r="AE453" i="3"/>
  <c r="J453" i="3"/>
  <c r="C453" i="3"/>
  <c r="B453" i="3"/>
  <c r="J452" i="3"/>
  <c r="C452" i="3"/>
  <c r="B452" i="3"/>
  <c r="AE452" i="3"/>
  <c r="AF452" i="3"/>
  <c r="AE451" i="3"/>
  <c r="AF451" i="3"/>
  <c r="J451" i="3"/>
  <c r="B451" i="3"/>
  <c r="C451" i="3"/>
  <c r="AE450" i="3"/>
  <c r="AF450" i="3"/>
  <c r="B450" i="3"/>
  <c r="C450" i="3"/>
  <c r="J450" i="3"/>
  <c r="B449" i="3"/>
  <c r="J449" i="3"/>
  <c r="C449" i="3"/>
  <c r="AF449" i="3"/>
  <c r="AE449" i="3"/>
  <c r="AF448" i="3"/>
  <c r="AE448" i="3"/>
  <c r="J448" i="3"/>
  <c r="C448" i="3"/>
  <c r="B448" i="3"/>
  <c r="AF447" i="3"/>
  <c r="AE447" i="3"/>
  <c r="B447" i="3"/>
  <c r="J447" i="3"/>
  <c r="C447" i="3"/>
  <c r="AE446" i="3"/>
  <c r="J446" i="3"/>
  <c r="AF446" i="3"/>
  <c r="B446" i="3"/>
  <c r="C446" i="3"/>
  <c r="B445" i="3"/>
  <c r="C445" i="3"/>
  <c r="J445" i="3"/>
  <c r="AE445" i="3"/>
  <c r="AF445" i="3"/>
  <c r="B444" i="3"/>
  <c r="J444" i="3"/>
  <c r="AE444" i="3"/>
  <c r="AF444" i="3"/>
  <c r="C444" i="3"/>
  <c r="J443" i="3"/>
  <c r="C443" i="3"/>
  <c r="B443" i="3"/>
  <c r="AF443" i="3"/>
  <c r="AE443" i="3"/>
  <c r="AF442" i="3"/>
  <c r="B442" i="3"/>
  <c r="C442" i="3"/>
  <c r="J442" i="3"/>
  <c r="AE442" i="3"/>
  <c r="AF441" i="3"/>
  <c r="J441" i="3"/>
  <c r="AE441" i="3"/>
  <c r="B441" i="3"/>
  <c r="C441" i="3"/>
  <c r="J440" i="3"/>
  <c r="AF440" i="3"/>
  <c r="AE440" i="3"/>
  <c r="C440" i="3"/>
  <c r="B440" i="3"/>
  <c r="AE439" i="3"/>
  <c r="AF439" i="3"/>
  <c r="J439" i="3"/>
  <c r="C439" i="3"/>
  <c r="B439" i="3"/>
  <c r="AF438" i="3"/>
  <c r="J438" i="3"/>
  <c r="AE438" i="3"/>
  <c r="C438" i="3"/>
  <c r="B438" i="3"/>
  <c r="B437" i="3"/>
  <c r="J437" i="3"/>
  <c r="C437" i="3"/>
  <c r="AF437" i="3"/>
  <c r="AE437" i="3"/>
  <c r="C436" i="3"/>
  <c r="B436" i="3"/>
  <c r="J436" i="3"/>
  <c r="AE436" i="3"/>
  <c r="AF436" i="3"/>
  <c r="AF435" i="3"/>
  <c r="AE435" i="3"/>
  <c r="J435" i="3"/>
  <c r="C435" i="3"/>
  <c r="B435" i="3"/>
  <c r="B434" i="3"/>
  <c r="C434" i="3"/>
  <c r="J434" i="3"/>
  <c r="AE434" i="3"/>
  <c r="AF434" i="3"/>
  <c r="B433" i="3"/>
  <c r="C433" i="3"/>
  <c r="J433" i="3"/>
  <c r="AE433" i="3"/>
  <c r="AF433" i="3"/>
  <c r="AF432" i="3"/>
  <c r="B432" i="3"/>
  <c r="C432" i="3"/>
  <c r="J432" i="3"/>
  <c r="AE432" i="3"/>
  <c r="C431" i="3"/>
  <c r="B431" i="3"/>
  <c r="AE431" i="3"/>
  <c r="AF431" i="3"/>
  <c r="J431" i="3"/>
  <c r="J430" i="3"/>
  <c r="C430" i="3"/>
  <c r="B430" i="3"/>
  <c r="AF430" i="3"/>
  <c r="AE430" i="3"/>
  <c r="C429" i="3"/>
  <c r="J429" i="3"/>
  <c r="AE429" i="3"/>
  <c r="AF429" i="3"/>
  <c r="B429" i="3"/>
  <c r="AF428" i="3"/>
  <c r="AE428" i="3"/>
  <c r="J428" i="3"/>
  <c r="C428" i="3"/>
  <c r="B428" i="3"/>
  <c r="AE427" i="3"/>
  <c r="AF427" i="3"/>
  <c r="J427" i="3"/>
  <c r="C427" i="3"/>
  <c r="B427" i="3"/>
  <c r="B426" i="3"/>
  <c r="AF426" i="3"/>
  <c r="AE426" i="3"/>
  <c r="J426" i="3"/>
  <c r="C426" i="3"/>
  <c r="B425" i="3"/>
  <c r="C425" i="3"/>
  <c r="AF425" i="3" s="1"/>
  <c r="J425" i="3"/>
  <c r="AE425" i="3"/>
  <c r="J424" i="3"/>
  <c r="AE424" i="3"/>
  <c r="B424" i="3"/>
  <c r="C424" i="3"/>
  <c r="AF424" i="3" s="1"/>
  <c r="B423" i="3"/>
  <c r="J423" i="3"/>
  <c r="C423" i="3"/>
  <c r="AE423" i="3"/>
  <c r="AF423" i="3"/>
  <c r="B422" i="3"/>
  <c r="C422" i="3"/>
  <c r="J422" i="3"/>
  <c r="AE422" i="3"/>
  <c r="AF422" i="3"/>
  <c r="B421" i="3"/>
  <c r="C421" i="3"/>
  <c r="J421" i="3"/>
  <c r="AE421" i="3"/>
  <c r="AF421" i="3"/>
  <c r="AE420" i="3"/>
  <c r="J420" i="3"/>
  <c r="C420" i="3"/>
  <c r="B420" i="3"/>
  <c r="AF420" i="3"/>
  <c r="AE419" i="3"/>
  <c r="J419" i="3"/>
  <c r="C419" i="3"/>
  <c r="AF419" i="3" s="1"/>
  <c r="B419" i="3"/>
  <c r="AE418" i="3"/>
  <c r="J418" i="3"/>
  <c r="C418" i="3"/>
  <c r="AF418" i="3" s="1"/>
  <c r="B418" i="3"/>
  <c r="AE417" i="3"/>
  <c r="J417" i="3"/>
  <c r="C417" i="3"/>
  <c r="AF417" i="3" s="1"/>
  <c r="B417" i="3"/>
  <c r="AE416" i="3"/>
  <c r="J416" i="3"/>
  <c r="C416" i="3"/>
  <c r="AF416" i="3" s="1"/>
  <c r="B416" i="3"/>
  <c r="AE415" i="3"/>
  <c r="J415" i="3"/>
  <c r="C415" i="3"/>
  <c r="AF415" i="3" s="1"/>
  <c r="B415" i="3"/>
  <c r="AE414" i="3"/>
  <c r="J414" i="3"/>
  <c r="C414" i="3"/>
  <c r="AF414" i="3" s="1"/>
  <c r="B414" i="3"/>
  <c r="AE413" i="3"/>
  <c r="J413" i="3"/>
  <c r="C413" i="3"/>
  <c r="AF413" i="3" s="1"/>
  <c r="B413" i="3"/>
  <c r="AE412" i="3"/>
  <c r="J412" i="3"/>
  <c r="C412" i="3"/>
  <c r="AF412" i="3" s="1"/>
  <c r="B412" i="3"/>
  <c r="C411" i="3"/>
  <c r="B411" i="3"/>
  <c r="AF411" i="3"/>
  <c r="AE411" i="3"/>
  <c r="J411" i="3"/>
  <c r="AE410" i="3"/>
  <c r="B410" i="3"/>
  <c r="C410" i="3"/>
  <c r="AF410" i="3" s="1"/>
  <c r="J410" i="3"/>
  <c r="AE409" i="3"/>
  <c r="J409" i="3"/>
  <c r="C409" i="3"/>
  <c r="B409" i="3"/>
  <c r="AF409" i="3"/>
  <c r="AE408" i="3"/>
  <c r="J408" i="3"/>
  <c r="C408" i="3"/>
  <c r="AF408" i="3" s="1"/>
  <c r="B408" i="3"/>
  <c r="AE407" i="3"/>
  <c r="J407" i="3"/>
  <c r="C407" i="3"/>
  <c r="AF407" i="3" s="1"/>
  <c r="B407" i="3"/>
  <c r="B406" i="3"/>
  <c r="AE406" i="3"/>
  <c r="C406" i="3"/>
  <c r="AF406" i="3" s="1"/>
  <c r="J406" i="3"/>
  <c r="B405" i="3"/>
  <c r="C405" i="3"/>
  <c r="AF405" i="3" s="1"/>
  <c r="J405" i="3"/>
  <c r="AE405" i="3"/>
  <c r="B404" i="3"/>
  <c r="C404" i="3"/>
  <c r="AF404" i="3" s="1"/>
  <c r="J404" i="3"/>
  <c r="AE404" i="3"/>
  <c r="J403" i="3"/>
  <c r="B403" i="3"/>
  <c r="C403" i="3"/>
  <c r="AE403" i="3"/>
  <c r="AF403" i="3"/>
  <c r="B402" i="3"/>
  <c r="C402" i="3"/>
  <c r="J402" i="3"/>
  <c r="AE402" i="3"/>
  <c r="AF402" i="3"/>
  <c r="B401" i="3"/>
  <c r="C401" i="3"/>
  <c r="J401" i="3"/>
  <c r="AE401" i="3"/>
  <c r="AF401" i="3"/>
  <c r="J400" i="3"/>
  <c r="C400" i="3"/>
  <c r="B400" i="3"/>
  <c r="AF400" i="3"/>
  <c r="AE400" i="3"/>
  <c r="C399" i="3"/>
  <c r="AF399" i="3" s="1"/>
  <c r="B399" i="3"/>
  <c r="AE399" i="3"/>
  <c r="J399" i="3"/>
  <c r="B398" i="3"/>
  <c r="C398" i="3"/>
  <c r="J398" i="3"/>
  <c r="AE398" i="3"/>
  <c r="AF398" i="3"/>
  <c r="B397" i="3"/>
  <c r="C397" i="3"/>
  <c r="J397" i="3"/>
  <c r="AE397" i="3"/>
  <c r="AF397" i="3"/>
  <c r="B396" i="3"/>
  <c r="C396" i="3"/>
  <c r="J396" i="3"/>
  <c r="AE396" i="3"/>
  <c r="AF396" i="3"/>
  <c r="B395" i="3"/>
  <c r="C395" i="3"/>
  <c r="AE395" i="3"/>
  <c r="AF395" i="3"/>
  <c r="J395" i="3"/>
  <c r="C394" i="3"/>
  <c r="B394" i="3"/>
  <c r="AF394" i="3"/>
  <c r="AE394" i="3"/>
  <c r="J394" i="3"/>
  <c r="AE393" i="3"/>
  <c r="J393" i="3"/>
  <c r="C393" i="3"/>
  <c r="AF393" i="3" s="1"/>
  <c r="B393" i="3"/>
  <c r="AE392" i="3"/>
  <c r="J392" i="3"/>
  <c r="C392" i="3"/>
  <c r="AF392" i="3" s="1"/>
  <c r="AE391" i="3"/>
  <c r="J391" i="3"/>
  <c r="C391" i="3"/>
  <c r="AF391" i="3" s="1"/>
  <c r="AE390" i="3"/>
  <c r="AF390" i="3"/>
  <c r="J390" i="3"/>
  <c r="J389" i="3"/>
  <c r="AE389" i="3"/>
  <c r="AF389" i="3"/>
  <c r="AE388" i="3"/>
  <c r="J388" i="3"/>
  <c r="C388" i="3"/>
  <c r="AF388" i="3"/>
  <c r="C387" i="3"/>
  <c r="AE387" i="3"/>
  <c r="J387" i="3"/>
  <c r="B387" i="3"/>
  <c r="AF387" i="3"/>
  <c r="J386" i="3"/>
  <c r="AE386" i="3"/>
  <c r="B386" i="3"/>
  <c r="C386" i="3"/>
  <c r="AF386" i="3" s="1"/>
  <c r="AE385" i="3"/>
  <c r="J385" i="3"/>
  <c r="AF385" i="3"/>
  <c r="AE384" i="3"/>
  <c r="C384" i="3"/>
  <c r="AF384" i="3"/>
  <c r="J384" i="3"/>
  <c r="AE383" i="3"/>
  <c r="C383" i="3"/>
  <c r="J383" i="3"/>
  <c r="AF383" i="3"/>
  <c r="B383" i="3"/>
  <c r="C382" i="3"/>
  <c r="AF382" i="3" s="1"/>
  <c r="J382" i="3"/>
  <c r="B382" i="3"/>
  <c r="AE382" i="3"/>
  <c r="AE381" i="3"/>
  <c r="C381" i="3"/>
  <c r="J381" i="3"/>
  <c r="AF381" i="3"/>
  <c r="B381" i="3"/>
  <c r="J380" i="3"/>
  <c r="C380" i="3"/>
  <c r="AF380" i="3" s="1"/>
  <c r="B380" i="3"/>
  <c r="AE380" i="3"/>
  <c r="C379" i="3"/>
  <c r="AF379" i="3" s="1"/>
  <c r="AE379" i="3"/>
  <c r="J379" i="3"/>
  <c r="B379" i="3"/>
  <c r="J378" i="3"/>
  <c r="B378" i="3"/>
  <c r="C378" i="3"/>
  <c r="AF378" i="3" s="1"/>
  <c r="C377" i="3"/>
  <c r="B377" i="3"/>
  <c r="AF377" i="3"/>
  <c r="AE377" i="3"/>
  <c r="J377" i="3"/>
  <c r="J376" i="3"/>
  <c r="AE376" i="3"/>
  <c r="B376" i="3"/>
  <c r="C376" i="3"/>
  <c r="AF376" i="3" s="1"/>
  <c r="B375" i="3"/>
  <c r="C375" i="3"/>
  <c r="J375" i="3"/>
  <c r="AE375" i="3"/>
  <c r="AF375" i="3"/>
  <c r="J374" i="3"/>
  <c r="AE374" i="3"/>
  <c r="C374" i="3"/>
  <c r="AF374" i="3" s="1"/>
  <c r="B374" i="3"/>
  <c r="B373" i="3"/>
  <c r="J373" i="3"/>
  <c r="AE373" i="3"/>
  <c r="C373" i="3"/>
  <c r="AF373" i="3" s="1"/>
  <c r="J372" i="3"/>
  <c r="C372" i="3"/>
  <c r="B372" i="3"/>
  <c r="AE372" i="3"/>
  <c r="AF372" i="3"/>
  <c r="B371" i="3"/>
  <c r="C371" i="3"/>
  <c r="J371" i="3"/>
  <c r="AE371" i="3"/>
  <c r="AF371" i="3"/>
  <c r="B370" i="3"/>
  <c r="C370" i="3"/>
  <c r="AF370" i="3" s="1"/>
  <c r="J370" i="3"/>
  <c r="AE370" i="3"/>
  <c r="J369" i="3"/>
  <c r="C369" i="3"/>
  <c r="AF369" i="3" s="1"/>
  <c r="B369" i="3"/>
  <c r="AE369" i="3"/>
  <c r="AE368" i="3"/>
  <c r="J368" i="3"/>
  <c r="C368" i="3"/>
  <c r="AF368" i="3" s="1"/>
  <c r="B368" i="3"/>
  <c r="AE367" i="3"/>
  <c r="J367" i="3"/>
  <c r="C367" i="3"/>
  <c r="AF367" i="3" s="1"/>
  <c r="B367" i="3"/>
  <c r="AE366" i="3"/>
  <c r="B366" i="3"/>
  <c r="J366" i="3"/>
  <c r="C366" i="3"/>
  <c r="AF366" i="3" s="1"/>
  <c r="AE365" i="3"/>
  <c r="J365" i="3"/>
  <c r="C365" i="3"/>
  <c r="AF365" i="3" s="1"/>
  <c r="B365" i="3"/>
  <c r="B364" i="3"/>
  <c r="C364" i="3"/>
  <c r="AF364" i="3" s="1"/>
  <c r="J364" i="3"/>
  <c r="AE364" i="3"/>
  <c r="J363" i="3"/>
  <c r="AE363" i="3"/>
  <c r="C363" i="3"/>
  <c r="AF363" i="3" s="1"/>
  <c r="B363" i="3"/>
  <c r="B362" i="3"/>
  <c r="C362" i="3"/>
  <c r="AF362" i="3"/>
  <c r="AE362" i="3"/>
  <c r="J362" i="3"/>
  <c r="AE361" i="3"/>
  <c r="J361" i="3"/>
  <c r="B361" i="3"/>
  <c r="C361" i="3"/>
  <c r="AF361" i="3" s="1"/>
  <c r="J360" i="3"/>
  <c r="C360" i="3"/>
  <c r="AF360" i="3" s="1"/>
  <c r="B360" i="3"/>
  <c r="AE360" i="3"/>
  <c r="J359" i="3"/>
  <c r="C359" i="3"/>
  <c r="B359" i="3"/>
  <c r="AF359" i="3"/>
  <c r="AE359" i="3"/>
  <c r="B358" i="3"/>
  <c r="C358" i="3"/>
  <c r="AF358" i="3" s="1"/>
  <c r="J358" i="3"/>
  <c r="AE358" i="3"/>
  <c r="AE357" i="3"/>
  <c r="B357" i="3"/>
  <c r="C357" i="3"/>
  <c r="AF357" i="3" s="1"/>
  <c r="J357" i="3"/>
  <c r="B356" i="3"/>
  <c r="C356" i="3"/>
  <c r="J356" i="3"/>
  <c r="AE356" i="3"/>
  <c r="AF356" i="3"/>
  <c r="AE355" i="3"/>
  <c r="J355" i="3"/>
  <c r="B355" i="3"/>
  <c r="C355" i="3"/>
  <c r="AF355" i="3" s="1"/>
  <c r="AE354" i="3"/>
  <c r="J354" i="3"/>
  <c r="C354" i="3"/>
  <c r="AF354" i="3" s="1"/>
  <c r="B354" i="3"/>
  <c r="B353" i="3"/>
  <c r="C353" i="3"/>
  <c r="AF353" i="3" s="1"/>
  <c r="J353" i="3"/>
  <c r="AE353" i="3"/>
  <c r="B352" i="3"/>
  <c r="J352" i="3"/>
  <c r="AE352" i="3"/>
  <c r="C352" i="3"/>
  <c r="AF352" i="3"/>
  <c r="AE351" i="3"/>
  <c r="B351" i="3"/>
  <c r="C351" i="3"/>
  <c r="AF351" i="3" s="1"/>
  <c r="J351" i="3"/>
  <c r="B350" i="3"/>
  <c r="C350" i="3"/>
  <c r="J350" i="3"/>
  <c r="AE350" i="3"/>
  <c r="AF350" i="3"/>
  <c r="J349" i="3"/>
  <c r="AE349" i="3"/>
  <c r="C349" i="3"/>
  <c r="AF349" i="3" s="1"/>
  <c r="B349" i="3"/>
  <c r="B348" i="3"/>
  <c r="C348" i="3"/>
  <c r="AF348" i="3" s="1"/>
  <c r="J348" i="3"/>
  <c r="AE348" i="3"/>
  <c r="AE347" i="3"/>
  <c r="J347" i="3"/>
  <c r="C347" i="3"/>
  <c r="AF347" i="3" s="1"/>
  <c r="B347" i="3"/>
  <c r="C346" i="3"/>
  <c r="AF346" i="3" s="1"/>
  <c r="B346" i="3"/>
  <c r="J346" i="3"/>
  <c r="AE346" i="3"/>
  <c r="AE345" i="3"/>
  <c r="C345" i="3"/>
  <c r="AF345" i="3" s="1"/>
  <c r="B345" i="3"/>
  <c r="J345" i="3"/>
  <c r="AE344" i="3"/>
  <c r="J344" i="3"/>
  <c r="B344" i="3"/>
  <c r="C344" i="3"/>
  <c r="AF344" i="3" s="1"/>
  <c r="C343" i="3"/>
  <c r="AF343" i="3"/>
  <c r="AE343" i="3"/>
  <c r="J343" i="3"/>
  <c r="B343" i="3"/>
  <c r="B342" i="3"/>
  <c r="C342" i="3"/>
  <c r="AE342" i="3"/>
  <c r="AF342" i="3"/>
  <c r="J342" i="3"/>
  <c r="AE341" i="3"/>
  <c r="J341" i="3"/>
  <c r="C341" i="3"/>
  <c r="AF341" i="3" s="1"/>
  <c r="B341" i="3"/>
  <c r="J340" i="3"/>
  <c r="C340" i="3"/>
  <c r="AF340" i="3" s="1"/>
  <c r="B340" i="3"/>
  <c r="AE340" i="3"/>
  <c r="AE339" i="3"/>
  <c r="J339" i="3"/>
  <c r="C339" i="3"/>
  <c r="AF339" i="3" s="1"/>
  <c r="B339" i="3"/>
  <c r="AE338" i="3"/>
  <c r="J338" i="3"/>
  <c r="C338" i="3"/>
  <c r="AF338" i="3" s="1"/>
  <c r="B338" i="3"/>
  <c r="B337" i="3"/>
  <c r="AE337" i="3"/>
  <c r="J337" i="3"/>
  <c r="C337" i="3"/>
  <c r="AF337" i="3" s="1"/>
  <c r="C336" i="3"/>
  <c r="J336" i="3"/>
  <c r="AE336" i="3"/>
  <c r="AF336" i="3"/>
  <c r="B336" i="3"/>
  <c r="J335" i="3"/>
  <c r="B335" i="3"/>
  <c r="AE335" i="3"/>
  <c r="C335" i="3"/>
  <c r="AF335" i="3" s="1"/>
  <c r="B334" i="3"/>
  <c r="J334" i="3"/>
  <c r="AE334" i="3"/>
  <c r="C334" i="3"/>
  <c r="AF334" i="3" s="1"/>
  <c r="AE333" i="3"/>
  <c r="J333" i="3"/>
  <c r="C333" i="3"/>
  <c r="AF333" i="3" s="1"/>
  <c r="AE332" i="3"/>
  <c r="J332" i="3"/>
  <c r="C332" i="3"/>
  <c r="AF332" i="3" s="1"/>
  <c r="AE331" i="3"/>
  <c r="C331" i="3"/>
  <c r="J331" i="3"/>
  <c r="B331" i="3"/>
  <c r="AF331" i="3"/>
  <c r="C330" i="3"/>
  <c r="AF330" i="3" s="1"/>
  <c r="AE330" i="3"/>
  <c r="J330" i="3"/>
  <c r="B330" i="3"/>
  <c r="C329" i="3"/>
  <c r="AF329" i="3"/>
  <c r="J329" i="3"/>
  <c r="AE329" i="3"/>
  <c r="J328" i="3"/>
  <c r="C328" i="3"/>
  <c r="AF328" i="3" s="1"/>
  <c r="AE328" i="3"/>
  <c r="C327" i="3"/>
  <c r="AF327" i="3" s="1"/>
  <c r="AE327" i="3"/>
  <c r="J327" i="3"/>
  <c r="J326" i="3"/>
  <c r="C326" i="3"/>
  <c r="AE326" i="3"/>
  <c r="AF326" i="3"/>
  <c r="AE325" i="3"/>
  <c r="C325" i="3"/>
  <c r="AF325" i="3" s="1"/>
  <c r="J325" i="3"/>
  <c r="B324" i="3"/>
  <c r="C324" i="3"/>
  <c r="AF324" i="3" s="1"/>
  <c r="AE324" i="3"/>
  <c r="J324" i="3"/>
  <c r="J323" i="3"/>
  <c r="AE323" i="3"/>
  <c r="C323" i="3"/>
  <c r="AF323" i="3" s="1"/>
  <c r="J322" i="3"/>
  <c r="C322" i="3"/>
  <c r="AE322" i="3"/>
  <c r="AF322" i="3"/>
  <c r="AE321" i="3"/>
  <c r="AF321" i="3"/>
  <c r="J321" i="3"/>
  <c r="B320" i="3"/>
  <c r="J320" i="3"/>
  <c r="C320" i="3"/>
  <c r="AF320" i="3" s="1"/>
  <c r="AE320" i="3"/>
  <c r="J319" i="3"/>
  <c r="AE319" i="3"/>
  <c r="C319" i="3"/>
  <c r="AF319" i="3" s="1"/>
  <c r="C318" i="3"/>
  <c r="AF318" i="3"/>
  <c r="AE318" i="3"/>
  <c r="J318" i="3"/>
  <c r="AE317" i="3"/>
  <c r="C317" i="3"/>
  <c r="AF317" i="3" s="1"/>
  <c r="J317" i="3"/>
  <c r="B317" i="3"/>
  <c r="J316" i="3"/>
  <c r="C316" i="3"/>
  <c r="AF316" i="3" s="1"/>
  <c r="AE316" i="3"/>
  <c r="C315" i="3"/>
  <c r="B315" i="3"/>
  <c r="J315" i="3"/>
  <c r="AE315" i="3"/>
  <c r="AF315" i="3"/>
  <c r="B314" i="3"/>
  <c r="O312" i="1"/>
  <c r="J314" i="3"/>
  <c r="C314" i="3"/>
  <c r="AF314" i="3" s="1"/>
  <c r="AE314" i="3"/>
  <c r="AE313" i="3"/>
  <c r="C313" i="3"/>
  <c r="AF313" i="3" s="1"/>
  <c r="J313" i="3"/>
  <c r="O311" i="1"/>
  <c r="C312" i="3"/>
  <c r="J312" i="3"/>
  <c r="AE312" i="3"/>
  <c r="AF312" i="3"/>
  <c r="O310" i="1"/>
  <c r="J311" i="3"/>
  <c r="AE311" i="3"/>
  <c r="C311" i="3"/>
  <c r="AF311" i="3" s="1"/>
  <c r="O309" i="1"/>
  <c r="B310" i="3"/>
  <c r="O308" i="1"/>
  <c r="C310" i="3"/>
  <c r="AF310" i="3" s="1"/>
  <c r="J310" i="3"/>
  <c r="AE310" i="3"/>
  <c r="B309" i="3"/>
  <c r="O307" i="1"/>
  <c r="AE309" i="3"/>
  <c r="J309" i="3"/>
  <c r="C309" i="3"/>
  <c r="AF309" i="3" s="1"/>
  <c r="AE308" i="3"/>
  <c r="O306" i="1"/>
  <c r="AF308" i="3"/>
  <c r="J308" i="3"/>
  <c r="J307" i="3"/>
  <c r="O305" i="1"/>
  <c r="C307" i="3"/>
  <c r="AF307" i="3" s="1"/>
  <c r="AE307" i="3"/>
  <c r="C306" i="3"/>
  <c r="AF306" i="3" s="1"/>
  <c r="J306" i="3"/>
  <c r="AE306" i="3"/>
  <c r="O304" i="1"/>
  <c r="AE305" i="3"/>
  <c r="O303" i="1"/>
  <c r="AF305" i="3"/>
  <c r="J305" i="3"/>
  <c r="AE304" i="3"/>
  <c r="J304" i="3"/>
  <c r="C304" i="3"/>
  <c r="O302" i="1"/>
  <c r="AF304" i="3"/>
  <c r="J302" i="3"/>
  <c r="AE302" i="3"/>
  <c r="B302" i="3"/>
  <c r="C302" i="3"/>
  <c r="AF302" i="3" s="1"/>
  <c r="J301" i="3"/>
  <c r="AE301" i="3"/>
  <c r="C301" i="3"/>
  <c r="AF301" i="3" s="1"/>
  <c r="B301" i="3"/>
  <c r="C300" i="3"/>
  <c r="J300" i="3"/>
  <c r="AE300" i="3"/>
  <c r="AF300" i="3"/>
  <c r="B300" i="3"/>
  <c r="C299" i="3"/>
  <c r="AF299" i="3" s="1"/>
  <c r="AE299" i="3"/>
  <c r="J299" i="3"/>
  <c r="B299" i="3"/>
  <c r="B298" i="3"/>
  <c r="AE298" i="3"/>
  <c r="C298" i="3"/>
  <c r="J298" i="3"/>
  <c r="AF298" i="3"/>
  <c r="C297" i="3"/>
  <c r="AF297" i="3" s="1"/>
  <c r="J297" i="3"/>
  <c r="B297" i="3"/>
  <c r="AE297" i="3"/>
  <c r="J296" i="3"/>
  <c r="AE296" i="3"/>
  <c r="B296" i="3"/>
  <c r="C296" i="3"/>
  <c r="AF296" i="3"/>
  <c r="C295" i="3"/>
  <c r="AE295" i="3"/>
  <c r="J295" i="3"/>
  <c r="AF295" i="3"/>
  <c r="B295" i="3"/>
  <c r="C294" i="3"/>
  <c r="B294" i="3"/>
  <c r="J294" i="3"/>
  <c r="AF294" i="3"/>
  <c r="AE294" i="3"/>
  <c r="B293" i="3"/>
  <c r="C293" i="3"/>
  <c r="AF293" i="3" s="1"/>
  <c r="J293" i="3"/>
  <c r="AE293" i="3"/>
  <c r="AE292" i="3"/>
  <c r="J292" i="3"/>
  <c r="C292" i="3"/>
  <c r="B292" i="3"/>
  <c r="AF292" i="3"/>
  <c r="AE291" i="3"/>
  <c r="J291" i="3"/>
  <c r="C291" i="3"/>
  <c r="B291" i="3"/>
  <c r="AF291" i="3"/>
  <c r="J290" i="3"/>
  <c r="C290" i="3"/>
  <c r="B290" i="3"/>
  <c r="AE290" i="3"/>
  <c r="AF290" i="3"/>
  <c r="AE289" i="3"/>
  <c r="J289" i="3"/>
  <c r="C289" i="3"/>
  <c r="AF289" i="3" s="1"/>
  <c r="B289" i="3"/>
  <c r="B288" i="3"/>
  <c r="C288" i="3"/>
  <c r="AF288" i="3" s="1"/>
  <c r="J288" i="3"/>
  <c r="AE288" i="3"/>
  <c r="AE287" i="3"/>
  <c r="B287" i="3"/>
  <c r="J287" i="3"/>
  <c r="C287" i="3"/>
  <c r="AF287" i="3" s="1"/>
  <c r="J286" i="3"/>
  <c r="AE286" i="3"/>
  <c r="C286" i="3"/>
  <c r="AF286" i="3" s="1"/>
  <c r="B286" i="3"/>
  <c r="AE285" i="3"/>
  <c r="J285" i="3"/>
  <c r="C285" i="3"/>
  <c r="B285" i="3"/>
  <c r="AF285" i="3"/>
  <c r="AE284" i="3"/>
  <c r="B284" i="3"/>
  <c r="C284" i="3"/>
  <c r="AF284" i="3" s="1"/>
  <c r="J284" i="3"/>
  <c r="C283" i="3"/>
  <c r="AE283" i="3"/>
  <c r="AF283" i="3"/>
  <c r="B283" i="3"/>
  <c r="J283" i="3"/>
  <c r="B282" i="3"/>
  <c r="C282" i="3"/>
  <c r="J282" i="3"/>
  <c r="AE282" i="3"/>
  <c r="AF282" i="3"/>
  <c r="C281" i="3"/>
  <c r="AF281" i="3"/>
  <c r="B281" i="3"/>
  <c r="AE281" i="3"/>
  <c r="J281" i="3"/>
  <c r="AE280" i="3"/>
  <c r="J280" i="3"/>
  <c r="B280" i="3"/>
  <c r="C280" i="3"/>
  <c r="AF280" i="3" s="1"/>
  <c r="J279" i="3"/>
  <c r="AE279" i="3"/>
  <c r="C279" i="3"/>
  <c r="AF279" i="3" s="1"/>
  <c r="B279" i="3"/>
  <c r="AE278" i="3"/>
  <c r="J278" i="3"/>
  <c r="C278" i="3"/>
  <c r="AF278" i="3" s="1"/>
  <c r="B278" i="3"/>
  <c r="J277" i="3"/>
  <c r="AE277" i="3"/>
  <c r="C277" i="3"/>
  <c r="AF277" i="3" s="1"/>
  <c r="B277" i="3"/>
  <c r="AE276" i="3"/>
  <c r="J276" i="3"/>
  <c r="B276" i="3"/>
  <c r="C276" i="3"/>
  <c r="AF276" i="3" s="1"/>
  <c r="AE275" i="3"/>
  <c r="J275" i="3"/>
  <c r="C275" i="3"/>
  <c r="B275" i="3"/>
  <c r="AF275" i="3"/>
  <c r="AE274" i="3"/>
  <c r="B274" i="3"/>
  <c r="C274" i="3"/>
  <c r="AF274" i="3" s="1"/>
  <c r="J274" i="3"/>
  <c r="J273" i="3"/>
  <c r="AE273" i="3"/>
  <c r="C273" i="3"/>
  <c r="AF273" i="3"/>
  <c r="B273" i="3"/>
  <c r="C272" i="3"/>
  <c r="AF272" i="3" s="1"/>
  <c r="B272" i="3"/>
  <c r="J272" i="3"/>
  <c r="AE272" i="3"/>
  <c r="AE271" i="3"/>
  <c r="C271" i="3"/>
  <c r="AF271" i="3" s="1"/>
  <c r="B271" i="3"/>
  <c r="J271" i="3"/>
  <c r="AE270" i="3"/>
  <c r="J270" i="3"/>
  <c r="C270" i="3"/>
  <c r="AF270" i="3" s="1"/>
  <c r="B270" i="3"/>
  <c r="J269" i="3"/>
  <c r="AE269" i="3"/>
  <c r="B269" i="3"/>
  <c r="C269" i="3"/>
  <c r="AF269" i="3" s="1"/>
  <c r="AE268" i="3"/>
  <c r="B268" i="3"/>
  <c r="C268" i="3"/>
  <c r="AF268" i="3" s="1"/>
  <c r="J268" i="3"/>
  <c r="J267" i="3"/>
  <c r="AE267" i="3"/>
  <c r="B267" i="3"/>
  <c r="C267" i="3"/>
  <c r="AF267" i="3" s="1"/>
  <c r="C266" i="3"/>
  <c r="AE266" i="3"/>
  <c r="AF266" i="3"/>
  <c r="B266" i="3"/>
  <c r="J266" i="3"/>
  <c r="B265" i="3"/>
  <c r="C265" i="3"/>
  <c r="J265" i="3"/>
  <c r="AE265" i="3"/>
  <c r="AF265" i="3"/>
  <c r="J264" i="3"/>
  <c r="C264" i="3"/>
  <c r="B264" i="3"/>
  <c r="AF264" i="3"/>
  <c r="AE264" i="3"/>
  <c r="B263" i="3"/>
  <c r="C263" i="3"/>
  <c r="J263" i="3"/>
  <c r="AE263" i="3"/>
  <c r="AF263" i="3"/>
  <c r="J262" i="3"/>
  <c r="AE262" i="3"/>
  <c r="B262" i="3"/>
  <c r="C262" i="3"/>
  <c r="AF262" i="3" s="1"/>
  <c r="B261" i="3"/>
  <c r="C261" i="3"/>
  <c r="J261" i="3"/>
  <c r="AE261" i="3"/>
  <c r="AF261" i="3"/>
  <c r="AE260" i="3"/>
  <c r="J260" i="3"/>
  <c r="C260" i="3"/>
  <c r="AF260" i="3" s="1"/>
  <c r="B260" i="3"/>
  <c r="AE259" i="3"/>
  <c r="J259" i="3"/>
  <c r="O257" i="1"/>
  <c r="B259" i="3"/>
  <c r="C259" i="3"/>
  <c r="AF259" i="3" s="1"/>
  <c r="J258" i="3"/>
  <c r="AF258" i="3"/>
  <c r="AE258" i="3"/>
  <c r="O256" i="1"/>
  <c r="J257" i="3"/>
  <c r="AE257" i="3"/>
  <c r="O255" i="1"/>
  <c r="AF257" i="3"/>
  <c r="J256" i="3"/>
  <c r="B256" i="3"/>
  <c r="O254" i="1"/>
  <c r="AE256" i="3"/>
  <c r="C256" i="3"/>
  <c r="AF256" i="3" s="1"/>
  <c r="O253" i="1"/>
  <c r="AE255" i="3"/>
  <c r="C255" i="3"/>
  <c r="AF255" i="3" s="1"/>
  <c r="J255" i="3"/>
  <c r="AE254" i="3"/>
  <c r="O252" i="1"/>
  <c r="C254" i="3"/>
  <c r="AF254" i="3" s="1"/>
  <c r="J254" i="3"/>
  <c r="J253" i="3"/>
  <c r="AE253" i="3"/>
  <c r="C253" i="3"/>
  <c r="AF253" i="3" s="1"/>
  <c r="O251" i="1"/>
  <c r="C252" i="3"/>
  <c r="AF252" i="3" s="1"/>
  <c r="J252" i="3"/>
  <c r="AE252" i="3"/>
  <c r="B252" i="3"/>
  <c r="O250" i="1"/>
  <c r="C251" i="3"/>
  <c r="J251" i="3"/>
  <c r="AE251" i="3"/>
  <c r="AF251" i="3"/>
  <c r="B251" i="3"/>
  <c r="O249" i="1"/>
  <c r="J250" i="3"/>
  <c r="B250" i="3"/>
  <c r="AE250" i="3"/>
  <c r="AF250" i="3"/>
  <c r="O248" i="1"/>
  <c r="C249" i="3"/>
  <c r="AF249" i="3" s="1"/>
  <c r="B249" i="3"/>
  <c r="O247" i="1"/>
  <c r="J249" i="3"/>
  <c r="AE249" i="3"/>
  <c r="AE248" i="3"/>
  <c r="C248" i="3"/>
  <c r="AF248" i="3"/>
  <c r="J248" i="3"/>
  <c r="O246" i="1"/>
  <c r="J247" i="3"/>
  <c r="B247" i="3"/>
  <c r="AE247" i="3"/>
  <c r="O245" i="1"/>
  <c r="C247" i="3"/>
  <c r="AF247" i="3" s="1"/>
  <c r="C246" i="3"/>
  <c r="AF246" i="3" s="1"/>
  <c r="J246" i="3"/>
  <c r="AE246" i="3"/>
  <c r="B246" i="3"/>
  <c r="O244" i="1"/>
  <c r="AE245" i="3"/>
  <c r="J245" i="3"/>
  <c r="C245" i="3"/>
  <c r="O243" i="1"/>
  <c r="AF245" i="3"/>
  <c r="C244" i="3"/>
  <c r="AF244" i="3" s="1"/>
  <c r="AE244" i="3"/>
  <c r="J244" i="3"/>
  <c r="O242" i="1"/>
  <c r="J243" i="3"/>
  <c r="O241" i="1"/>
  <c r="AF243" i="3"/>
  <c r="AE243" i="3"/>
  <c r="B242" i="3"/>
  <c r="AE242" i="3"/>
  <c r="O240" i="1"/>
  <c r="J242" i="3"/>
  <c r="C242" i="3"/>
  <c r="AF242" i="3" s="1"/>
  <c r="AE241" i="3"/>
  <c r="J241" i="3"/>
  <c r="B241" i="3"/>
  <c r="C241" i="3"/>
  <c r="AF241" i="3" s="1"/>
  <c r="O239" i="1"/>
  <c r="AE240" i="3"/>
  <c r="C240" i="3"/>
  <c r="AF240" i="3"/>
  <c r="J240" i="3"/>
  <c r="O238" i="1"/>
  <c r="AE239" i="3"/>
  <c r="J239" i="3"/>
  <c r="C239" i="3"/>
  <c r="O237" i="1"/>
  <c r="AF239" i="3"/>
  <c r="J238" i="3"/>
  <c r="C238" i="3"/>
  <c r="O236" i="1"/>
  <c r="AE238" i="3"/>
  <c r="B238" i="3"/>
  <c r="AF238" i="3"/>
  <c r="AE237" i="3"/>
  <c r="O235" i="1"/>
  <c r="J237" i="3"/>
  <c r="C237" i="3"/>
  <c r="AF237" i="3" s="1"/>
  <c r="C236" i="3"/>
  <c r="AF236" i="3" s="1"/>
  <c r="J236" i="3"/>
  <c r="AE236" i="3"/>
  <c r="O234" i="1"/>
  <c r="C235" i="3"/>
  <c r="J235" i="3"/>
  <c r="AF235" i="3"/>
  <c r="O233" i="1"/>
  <c r="AE235" i="3"/>
  <c r="AE234" i="3"/>
  <c r="J234" i="3"/>
  <c r="O232" i="1"/>
  <c r="C234" i="3"/>
  <c r="AF234" i="3" s="1"/>
  <c r="AE233" i="3"/>
  <c r="AF233" i="3"/>
  <c r="O231" i="1"/>
  <c r="J233" i="3"/>
  <c r="J232" i="3"/>
  <c r="C232" i="3"/>
  <c r="AF232" i="3"/>
  <c r="O230" i="1"/>
  <c r="AE232" i="3"/>
  <c r="C231" i="3"/>
  <c r="O229" i="1"/>
  <c r="J231" i="3"/>
  <c r="AF231" i="3"/>
  <c r="AE231" i="3"/>
  <c r="O228" i="1"/>
  <c r="AF230" i="3"/>
  <c r="J230" i="3"/>
  <c r="AE230" i="3"/>
  <c r="AE229" i="3"/>
  <c r="C229" i="3"/>
  <c r="J229" i="3"/>
  <c r="O227" i="1"/>
  <c r="AF229" i="3"/>
  <c r="J228" i="3"/>
  <c r="AE228" i="3"/>
  <c r="C228" i="3"/>
  <c r="AF228" i="3"/>
  <c r="O226" i="1"/>
  <c r="C227" i="3"/>
  <c r="AF227" i="3" s="1"/>
  <c r="B227" i="3"/>
  <c r="AE226" i="3"/>
  <c r="J226" i="3"/>
  <c r="C226" i="3"/>
  <c r="AF226" i="3" s="1"/>
  <c r="B226" i="3"/>
  <c r="AE225" i="3"/>
  <c r="B225" i="3"/>
  <c r="C225" i="3"/>
  <c r="J225" i="3"/>
  <c r="AF225" i="3"/>
  <c r="B224" i="3"/>
  <c r="C224" i="3"/>
  <c r="AE224" i="3"/>
  <c r="AF224" i="3"/>
  <c r="J224" i="3"/>
  <c r="AE223" i="3"/>
  <c r="B223" i="3"/>
  <c r="C223" i="3"/>
  <c r="J223" i="3"/>
  <c r="AF223" i="3"/>
  <c r="B222" i="3"/>
  <c r="C222" i="3"/>
  <c r="J222" i="3"/>
  <c r="AF222" i="3"/>
  <c r="AE222" i="3"/>
  <c r="B221" i="3"/>
  <c r="J221" i="3"/>
  <c r="C221" i="3"/>
  <c r="AF221" i="3" s="1"/>
  <c r="AE221" i="3"/>
  <c r="AE220" i="3"/>
  <c r="J220" i="3"/>
  <c r="C220" i="3"/>
  <c r="AF220" i="3" s="1"/>
  <c r="B220" i="3"/>
  <c r="B219" i="3"/>
  <c r="AE219" i="3"/>
  <c r="J219" i="3"/>
  <c r="C219" i="3"/>
  <c r="AF219" i="3" s="1"/>
  <c r="B218" i="3"/>
  <c r="J218" i="3"/>
  <c r="AE218" i="3"/>
  <c r="C218" i="3"/>
  <c r="AF218" i="3"/>
  <c r="J217" i="3"/>
  <c r="C217" i="3"/>
  <c r="AF217" i="3" s="1"/>
  <c r="B217" i="3"/>
  <c r="AE217" i="3"/>
  <c r="C216" i="3"/>
  <c r="AF216" i="3"/>
  <c r="AE216" i="3"/>
  <c r="B216" i="3"/>
  <c r="J216" i="3"/>
  <c r="AE215" i="3"/>
  <c r="J215" i="3"/>
  <c r="C215" i="3"/>
  <c r="AF215" i="3" s="1"/>
  <c r="B215" i="3"/>
  <c r="AE214" i="3"/>
  <c r="J214" i="3"/>
  <c r="B214" i="3"/>
  <c r="C214" i="3"/>
  <c r="AF214" i="3" s="1"/>
  <c r="AE213" i="3"/>
  <c r="J213" i="3"/>
  <c r="C213" i="3"/>
  <c r="AF213" i="3" s="1"/>
  <c r="B213" i="3"/>
  <c r="J212" i="3"/>
  <c r="C212" i="3"/>
  <c r="B212" i="3"/>
  <c r="AE212" i="3"/>
  <c r="AF212" i="3"/>
  <c r="AE211" i="3"/>
  <c r="B211" i="3"/>
  <c r="C211" i="3"/>
  <c r="AF211" i="3" s="1"/>
  <c r="J211" i="3"/>
  <c r="AE210" i="3"/>
  <c r="J210" i="3"/>
  <c r="C210" i="3"/>
  <c r="AF210" i="3" s="1"/>
  <c r="B210" i="3"/>
  <c r="AE209" i="3"/>
  <c r="J209" i="3"/>
  <c r="B209" i="3"/>
  <c r="C209" i="3"/>
  <c r="AF209" i="3" s="1"/>
  <c r="C208" i="3"/>
  <c r="AF208" i="3" s="1"/>
  <c r="B208" i="3"/>
  <c r="J208" i="3"/>
  <c r="AE208" i="3"/>
  <c r="AE207" i="3"/>
  <c r="B207" i="3"/>
  <c r="C207" i="3"/>
  <c r="AF207" i="3" s="1"/>
  <c r="J207" i="3"/>
  <c r="AE206" i="3"/>
  <c r="J206" i="3"/>
  <c r="C206" i="3"/>
  <c r="AF206" i="3" s="1"/>
  <c r="B206" i="3"/>
  <c r="B205" i="3"/>
  <c r="C205" i="3"/>
  <c r="AF205" i="3" s="1"/>
  <c r="AE205" i="3"/>
  <c r="J205" i="3"/>
  <c r="B204" i="3"/>
  <c r="AE204" i="3"/>
  <c r="J204" i="3"/>
  <c r="C204" i="3"/>
  <c r="AF204" i="3" s="1"/>
  <c r="J203" i="3"/>
  <c r="AE203" i="3"/>
  <c r="C203" i="3"/>
  <c r="AF203" i="3" s="1"/>
  <c r="B203" i="3"/>
  <c r="C202" i="3"/>
  <c r="AF202" i="3" s="1"/>
  <c r="J202" i="3"/>
  <c r="AE202" i="3"/>
  <c r="B202" i="3"/>
  <c r="AE201" i="3"/>
  <c r="C201" i="3"/>
  <c r="AF201" i="3" s="1"/>
  <c r="B201" i="3"/>
  <c r="J201" i="3"/>
  <c r="B200" i="3"/>
  <c r="C200" i="3"/>
  <c r="AF200" i="3" s="1"/>
  <c r="J200" i="3"/>
  <c r="AE200" i="3"/>
  <c r="J199" i="3"/>
  <c r="C199" i="3"/>
  <c r="AF199" i="3" s="1"/>
  <c r="B199" i="3"/>
  <c r="AE199" i="3"/>
  <c r="J198" i="3"/>
  <c r="AE198" i="3"/>
  <c r="C198" i="3"/>
  <c r="AF198" i="3" s="1"/>
  <c r="B198" i="3"/>
  <c r="AE197" i="3"/>
  <c r="B197" i="3"/>
  <c r="C197" i="3"/>
  <c r="AF197" i="3" s="1"/>
  <c r="J197" i="3"/>
  <c r="J196" i="3"/>
  <c r="C196" i="3"/>
  <c r="B196" i="3"/>
  <c r="AF196" i="3"/>
  <c r="AE196" i="3"/>
  <c r="AE195" i="3"/>
  <c r="J195" i="3"/>
  <c r="C195" i="3"/>
  <c r="AF195" i="3" s="1"/>
  <c r="B195" i="3"/>
  <c r="AE194" i="3"/>
  <c r="J194" i="3"/>
  <c r="C194" i="3"/>
  <c r="AF194" i="3" s="1"/>
  <c r="B194" i="3"/>
  <c r="B193" i="3"/>
  <c r="C193" i="3"/>
  <c r="AF193" i="3"/>
  <c r="AE193" i="3"/>
  <c r="J193" i="3"/>
  <c r="C192" i="3"/>
  <c r="AF192" i="3" s="1"/>
  <c r="J192" i="3"/>
  <c r="AE192" i="3"/>
  <c r="B192" i="3"/>
  <c r="J191" i="3"/>
  <c r="AE191" i="3"/>
  <c r="B191" i="3"/>
  <c r="C191" i="3"/>
  <c r="AF191" i="3" s="1"/>
  <c r="AE190" i="3"/>
  <c r="J190" i="3"/>
  <c r="C190" i="3"/>
  <c r="AF190" i="3" s="1"/>
  <c r="B190" i="3"/>
  <c r="AE189" i="3"/>
  <c r="C189" i="3"/>
  <c r="AF189" i="3"/>
  <c r="B189" i="3"/>
  <c r="J189" i="3"/>
  <c r="B188" i="3"/>
  <c r="C188" i="3"/>
  <c r="AF188" i="3" s="1"/>
  <c r="J188" i="3"/>
  <c r="AE188" i="3"/>
  <c r="C187" i="3"/>
  <c r="B187" i="3"/>
  <c r="J187" i="3"/>
  <c r="AE187" i="3"/>
  <c r="AF187" i="3"/>
  <c r="B186" i="3"/>
  <c r="C186" i="3"/>
  <c r="AE186" i="3"/>
  <c r="AF186" i="3"/>
  <c r="J186" i="3"/>
  <c r="AE185" i="3"/>
  <c r="C185" i="3"/>
  <c r="J185" i="3"/>
  <c r="AF185" i="3"/>
  <c r="B185" i="3"/>
  <c r="AE184" i="3"/>
  <c r="J184" i="3"/>
  <c r="C184" i="3"/>
  <c r="B184" i="3"/>
  <c r="AF184" i="3"/>
  <c r="J183" i="3"/>
  <c r="C183" i="3"/>
  <c r="B183" i="3"/>
  <c r="AE183" i="3"/>
  <c r="AF183" i="3"/>
  <c r="AE182" i="3"/>
  <c r="J182" i="3"/>
  <c r="C182" i="3"/>
  <c r="AF182" i="3" s="1"/>
  <c r="B182" i="3"/>
  <c r="C181" i="3"/>
  <c r="AF181" i="3"/>
  <c r="AE181" i="3"/>
  <c r="J181" i="3"/>
  <c r="B181" i="3"/>
  <c r="B180" i="3"/>
  <c r="J180" i="3"/>
  <c r="AE180" i="3"/>
  <c r="C180" i="3"/>
  <c r="AF180" i="3" s="1"/>
  <c r="B179" i="3"/>
  <c r="C179" i="3"/>
  <c r="J179" i="3"/>
  <c r="AE179" i="3"/>
  <c r="AF179" i="3"/>
  <c r="B178" i="3"/>
  <c r="C178" i="3"/>
  <c r="AF178" i="3" s="1"/>
  <c r="J178" i="3"/>
  <c r="AE178" i="3"/>
  <c r="J177" i="3"/>
  <c r="AE177" i="3"/>
  <c r="C177" i="3"/>
  <c r="AF177" i="3" s="1"/>
  <c r="B177" i="3"/>
  <c r="B176" i="3"/>
  <c r="C176" i="3"/>
  <c r="J176" i="3"/>
  <c r="AE176" i="3"/>
  <c r="AF176" i="3"/>
  <c r="B175" i="3"/>
  <c r="C175" i="3"/>
  <c r="J175" i="3"/>
  <c r="AF175" i="3"/>
  <c r="AE175" i="3"/>
  <c r="AE174" i="3"/>
  <c r="C174" i="3"/>
  <c r="AF174" i="3" s="1"/>
  <c r="J174" i="3"/>
  <c r="B174" i="3"/>
  <c r="C173" i="3"/>
  <c r="J173" i="3"/>
  <c r="AE173" i="3"/>
  <c r="B173" i="3"/>
  <c r="AF173" i="3"/>
  <c r="J172" i="3"/>
  <c r="C172" i="3"/>
  <c r="AF172" i="3" s="1"/>
  <c r="B172" i="3"/>
  <c r="AE172" i="3"/>
  <c r="AE171" i="3"/>
  <c r="J171" i="3"/>
  <c r="C171" i="3"/>
  <c r="AF171" i="3" s="1"/>
  <c r="B171" i="3"/>
  <c r="AE170" i="3"/>
  <c r="J170" i="3"/>
  <c r="C170" i="3"/>
  <c r="AF170" i="3" s="1"/>
  <c r="B170" i="3"/>
  <c r="AE169" i="3"/>
  <c r="J169" i="3"/>
  <c r="C169" i="3"/>
  <c r="AF169" i="3" s="1"/>
  <c r="B169" i="3"/>
  <c r="C168" i="3"/>
  <c r="B168" i="3"/>
  <c r="AF168" i="3"/>
  <c r="AE168" i="3"/>
  <c r="J168" i="3"/>
  <c r="B167" i="3"/>
  <c r="C167" i="3"/>
  <c r="AF167" i="3" s="1"/>
  <c r="J167" i="3"/>
  <c r="AE167" i="3"/>
  <c r="AE166" i="3"/>
  <c r="J166" i="3"/>
  <c r="C166" i="3"/>
  <c r="AF166" i="3" s="1"/>
  <c r="B166" i="3"/>
  <c r="J165" i="3"/>
  <c r="AE165" i="3"/>
  <c r="C165" i="3"/>
  <c r="AF165" i="3" s="1"/>
  <c r="B165" i="3"/>
  <c r="AE164" i="3"/>
  <c r="J164" i="3"/>
  <c r="C164" i="3"/>
  <c r="B164" i="3"/>
  <c r="AF164" i="3"/>
  <c r="AE163" i="3"/>
  <c r="J163" i="3"/>
  <c r="C163" i="3"/>
  <c r="AF163" i="3" s="1"/>
  <c r="B163" i="3"/>
  <c r="AE162" i="3"/>
  <c r="J162" i="3"/>
  <c r="C162" i="3"/>
  <c r="AF162" i="3" s="1"/>
  <c r="B162" i="3"/>
  <c r="AE161" i="3"/>
  <c r="J161" i="3"/>
  <c r="C161" i="3"/>
  <c r="AF161" i="3" s="1"/>
  <c r="B161" i="3"/>
  <c r="AE160" i="3"/>
  <c r="J160" i="3"/>
  <c r="C160" i="3"/>
  <c r="AF160" i="3" s="1"/>
  <c r="B160" i="3"/>
  <c r="AE159" i="3"/>
  <c r="J159" i="3"/>
  <c r="C159" i="3"/>
  <c r="AF159" i="3" s="1"/>
  <c r="B159" i="3"/>
  <c r="AE158" i="3"/>
  <c r="J158" i="3"/>
  <c r="C158" i="3"/>
  <c r="AF158" i="3" s="1"/>
  <c r="B158" i="3"/>
  <c r="AE157" i="3"/>
  <c r="J157" i="3"/>
  <c r="C157" i="3"/>
  <c r="AF157" i="3" s="1"/>
  <c r="B157" i="3"/>
  <c r="AE156" i="3"/>
  <c r="J156" i="3"/>
  <c r="C156" i="3"/>
  <c r="AF156" i="3" s="1"/>
  <c r="B156" i="3"/>
  <c r="AE155" i="3"/>
  <c r="J155" i="3"/>
  <c r="C155" i="3"/>
  <c r="AF155" i="3" s="1"/>
  <c r="B155" i="3"/>
  <c r="AE154" i="3"/>
  <c r="J154" i="3"/>
  <c r="C154" i="3"/>
  <c r="AF154" i="3" s="1"/>
  <c r="B154" i="3"/>
  <c r="AE153" i="3"/>
  <c r="J153" i="3"/>
  <c r="C153" i="3"/>
  <c r="AF153" i="3" s="1"/>
  <c r="B153" i="3"/>
  <c r="AE152" i="3"/>
  <c r="J152" i="3"/>
  <c r="C152" i="3"/>
  <c r="AF152" i="3" s="1"/>
  <c r="B152" i="3"/>
  <c r="B151" i="3"/>
  <c r="J151" i="3"/>
  <c r="C151" i="3"/>
  <c r="AF151" i="3" s="1"/>
  <c r="B150" i="3"/>
  <c r="AE150" i="3"/>
  <c r="J150" i="3"/>
  <c r="C150" i="3"/>
  <c r="AF150" i="3" s="1"/>
  <c r="AE149" i="3"/>
  <c r="J149" i="3"/>
  <c r="C149" i="3"/>
  <c r="AF149" i="3" s="1"/>
  <c r="B149" i="3"/>
  <c r="AE148" i="3"/>
  <c r="J148" i="3"/>
  <c r="C148" i="3"/>
  <c r="AF148" i="3" s="1"/>
  <c r="B148" i="3"/>
  <c r="B147" i="3"/>
  <c r="AE147" i="3"/>
  <c r="J147" i="3"/>
  <c r="C147" i="3"/>
  <c r="AF147" i="3" s="1"/>
  <c r="B146" i="3"/>
  <c r="AE146" i="3"/>
  <c r="J146" i="3"/>
  <c r="C146" i="3"/>
  <c r="AF146" i="3" s="1"/>
  <c r="B145" i="3"/>
  <c r="AE145" i="3"/>
  <c r="J145" i="3"/>
  <c r="C145" i="3"/>
  <c r="AF145" i="3" s="1"/>
  <c r="B144" i="3"/>
  <c r="AE144" i="3"/>
  <c r="J144" i="3"/>
  <c r="C144" i="3"/>
  <c r="AF144" i="3" s="1"/>
  <c r="AE143" i="3"/>
  <c r="J143" i="3"/>
  <c r="C143" i="3"/>
  <c r="AF143" i="3" s="1"/>
  <c r="B143" i="3"/>
  <c r="B142" i="3"/>
  <c r="AE142" i="3"/>
  <c r="J142" i="3"/>
  <c r="C142" i="3"/>
  <c r="AF142" i="3" s="1"/>
  <c r="B141" i="3"/>
  <c r="AE141" i="3"/>
  <c r="J141" i="3"/>
  <c r="C141" i="3"/>
  <c r="AF141" i="3" s="1"/>
  <c r="AE140" i="3"/>
  <c r="J140" i="3"/>
  <c r="C140" i="3"/>
  <c r="AF140" i="3" s="1"/>
  <c r="B140" i="3"/>
  <c r="AE139" i="3"/>
  <c r="J139" i="3"/>
  <c r="C139" i="3"/>
  <c r="AF139" i="3" s="1"/>
  <c r="B139" i="3"/>
  <c r="B138" i="3"/>
  <c r="AE138" i="3"/>
  <c r="J138" i="3"/>
  <c r="C138" i="3"/>
  <c r="AF138" i="3" s="1"/>
  <c r="B137" i="3"/>
  <c r="AE137" i="3"/>
  <c r="J137" i="3"/>
  <c r="C137" i="3"/>
  <c r="AF137" i="3" s="1"/>
  <c r="B136" i="3"/>
  <c r="AE136" i="3"/>
  <c r="J136" i="3"/>
  <c r="C136" i="3"/>
  <c r="AF136" i="3" s="1"/>
  <c r="B135" i="3"/>
  <c r="AE135" i="3"/>
  <c r="J135" i="3"/>
  <c r="C135" i="3"/>
  <c r="AF135" i="3" s="1"/>
  <c r="B134" i="3"/>
  <c r="AE134" i="3"/>
  <c r="J134" i="3"/>
  <c r="C134" i="3"/>
  <c r="AF134" i="3" s="1"/>
  <c r="B133" i="3"/>
  <c r="AE133" i="3"/>
  <c r="J133" i="3"/>
  <c r="C133" i="3"/>
  <c r="AF133" i="3" s="1"/>
  <c r="AE132" i="3"/>
  <c r="J132" i="3"/>
  <c r="C132" i="3"/>
  <c r="AF132" i="3" s="1"/>
  <c r="B132" i="3"/>
  <c r="B131" i="3"/>
  <c r="C131" i="3"/>
  <c r="J131" i="3"/>
  <c r="AE131" i="3"/>
  <c r="AF131" i="3"/>
  <c r="B130" i="3"/>
  <c r="C130" i="3"/>
  <c r="AF130" i="3" s="1"/>
  <c r="J130" i="3"/>
  <c r="AE130" i="3"/>
  <c r="B129" i="3"/>
  <c r="C129" i="3"/>
  <c r="J129" i="3"/>
  <c r="AE129" i="3"/>
  <c r="AF129" i="3"/>
  <c r="B128" i="3"/>
  <c r="AE128" i="3"/>
  <c r="J128" i="3"/>
  <c r="C128" i="3"/>
  <c r="AF128" i="3" s="1"/>
  <c r="AE127" i="3"/>
  <c r="B127" i="3"/>
  <c r="C127" i="3"/>
  <c r="AF127" i="3" s="1"/>
  <c r="J127" i="3"/>
  <c r="C126" i="3"/>
  <c r="AF126" i="3" s="1"/>
  <c r="B126" i="3"/>
  <c r="J126" i="3"/>
  <c r="AE126" i="3"/>
  <c r="J125" i="3"/>
  <c r="AE125" i="3"/>
  <c r="B125" i="3"/>
  <c r="C125" i="3"/>
  <c r="AF125" i="3" s="1"/>
  <c r="J124" i="3"/>
  <c r="C124" i="3"/>
  <c r="AF124" i="3" s="1"/>
  <c r="B124" i="3"/>
  <c r="AE124" i="3"/>
  <c r="AE123" i="3"/>
  <c r="B123" i="3"/>
  <c r="C123" i="3"/>
  <c r="AF123" i="3" s="1"/>
  <c r="J123" i="3"/>
  <c r="AE122" i="3"/>
  <c r="C122" i="3"/>
  <c r="AF122" i="3" s="1"/>
  <c r="B122" i="3"/>
  <c r="J122" i="3"/>
  <c r="C121" i="3"/>
  <c r="AF121" i="3" s="1"/>
  <c r="AE121" i="3"/>
  <c r="J121" i="3"/>
  <c r="B121" i="3"/>
  <c r="AE120" i="3"/>
  <c r="J120" i="3"/>
  <c r="C120" i="3"/>
  <c r="AF120" i="3" s="1"/>
  <c r="B120" i="3"/>
  <c r="AE119" i="3"/>
  <c r="C119" i="3"/>
  <c r="AF119" i="3" s="1"/>
  <c r="B119" i="3"/>
  <c r="J119" i="3"/>
  <c r="J118" i="3"/>
  <c r="AE118" i="3"/>
  <c r="B118" i="3"/>
  <c r="C118" i="3"/>
  <c r="AF118" i="3" s="1"/>
  <c r="J117" i="3"/>
  <c r="AE117" i="3"/>
  <c r="B117" i="3"/>
  <c r="C117" i="3"/>
  <c r="AF117" i="3" s="1"/>
  <c r="AE116" i="3"/>
  <c r="J116" i="3"/>
  <c r="C116" i="3"/>
  <c r="AF116" i="3" s="1"/>
  <c r="B116" i="3"/>
  <c r="AE115" i="3"/>
  <c r="J115" i="3"/>
  <c r="C115" i="3"/>
  <c r="AF115" i="3" s="1"/>
  <c r="B115" i="3"/>
  <c r="J114" i="3"/>
  <c r="C114" i="3"/>
  <c r="AF114" i="3" s="1"/>
  <c r="B114" i="3"/>
  <c r="AE114" i="3"/>
  <c r="AE113" i="3"/>
  <c r="J113" i="3"/>
  <c r="C113" i="3"/>
  <c r="AF113" i="3" s="1"/>
  <c r="B113" i="3"/>
  <c r="J112" i="3"/>
  <c r="AE112" i="3"/>
  <c r="B112" i="3"/>
  <c r="C112" i="3"/>
  <c r="AF112" i="3" s="1"/>
  <c r="AE111" i="3"/>
  <c r="J111" i="3"/>
  <c r="C111" i="3"/>
  <c r="AF111" i="3" s="1"/>
  <c r="B111" i="3"/>
  <c r="AE110" i="3"/>
  <c r="J110" i="3"/>
  <c r="C110" i="3"/>
  <c r="AF110" i="3" s="1"/>
  <c r="B110" i="3"/>
  <c r="AE109" i="3"/>
  <c r="J109" i="3"/>
  <c r="C109" i="3"/>
  <c r="AF109" i="3" s="1"/>
  <c r="B109" i="3"/>
  <c r="AE108" i="3"/>
  <c r="J108" i="3"/>
  <c r="C108" i="3"/>
  <c r="AF108" i="3" s="1"/>
  <c r="B108" i="3"/>
  <c r="AE107" i="3"/>
  <c r="J107" i="3"/>
  <c r="C107" i="3"/>
  <c r="AF107" i="3" s="1"/>
  <c r="B107" i="3"/>
  <c r="J106" i="3"/>
  <c r="AE106" i="3"/>
  <c r="C106" i="3"/>
  <c r="AF106" i="3" s="1"/>
  <c r="B106" i="3"/>
  <c r="B105" i="3"/>
  <c r="C105" i="3"/>
  <c r="AF105" i="3" s="1"/>
  <c r="J105" i="3"/>
  <c r="AE105" i="3"/>
  <c r="B104" i="3"/>
  <c r="C104" i="3"/>
  <c r="AF104" i="3" s="1"/>
  <c r="J104" i="3"/>
  <c r="AE104" i="3"/>
  <c r="B103" i="3"/>
  <c r="C103" i="3"/>
  <c r="AF103" i="3" s="1"/>
  <c r="J103" i="3"/>
  <c r="AE103" i="3"/>
  <c r="B102" i="3"/>
  <c r="C102" i="3"/>
  <c r="AF102" i="3" s="1"/>
  <c r="J102" i="3"/>
  <c r="AE102" i="3"/>
  <c r="B101" i="3"/>
  <c r="C101" i="3"/>
  <c r="AF101" i="3" s="1"/>
  <c r="J101" i="3"/>
  <c r="AE101" i="3"/>
  <c r="J100" i="3"/>
  <c r="C100" i="3"/>
  <c r="AF100" i="3" s="1"/>
  <c r="B100" i="3"/>
  <c r="AE100" i="3"/>
  <c r="J99" i="3"/>
  <c r="C99" i="3"/>
  <c r="AF99" i="3" s="1"/>
  <c r="B99" i="3"/>
  <c r="AE99" i="3"/>
  <c r="B98" i="3"/>
  <c r="AE98" i="3"/>
  <c r="J98" i="3"/>
  <c r="C98" i="3"/>
  <c r="AF98" i="3" s="1"/>
  <c r="B97" i="3"/>
  <c r="C97" i="3"/>
  <c r="AF97" i="3" s="1"/>
  <c r="J97" i="3"/>
  <c r="AE97" i="3"/>
  <c r="AE96" i="3"/>
  <c r="J96" i="3"/>
  <c r="C96" i="3"/>
  <c r="AF96" i="3" s="1"/>
  <c r="B96" i="3"/>
  <c r="AE95" i="3"/>
  <c r="J95" i="3"/>
  <c r="C95" i="3"/>
  <c r="AF95" i="3" s="1"/>
  <c r="B95" i="3"/>
  <c r="AE94" i="3"/>
  <c r="J94" i="3"/>
  <c r="C94" i="3"/>
  <c r="AF94" i="3" s="1"/>
  <c r="B94" i="3"/>
  <c r="C93" i="3"/>
  <c r="B93" i="3"/>
  <c r="AF93" i="3"/>
  <c r="AE93" i="3"/>
  <c r="J93" i="3"/>
  <c r="B92" i="3"/>
  <c r="C92" i="3"/>
  <c r="J92" i="3"/>
  <c r="AF92" i="3"/>
  <c r="AE92" i="3"/>
  <c r="AE91" i="3"/>
  <c r="B91" i="3"/>
  <c r="C91" i="3"/>
  <c r="J91" i="3"/>
  <c r="AF91" i="3"/>
  <c r="AE90" i="3"/>
  <c r="J90" i="3"/>
  <c r="C90" i="3"/>
  <c r="AF90" i="3" s="1"/>
  <c r="B90" i="3"/>
  <c r="AE89" i="3"/>
  <c r="J89" i="3"/>
  <c r="C89" i="3"/>
  <c r="AF89" i="3" s="1"/>
  <c r="B89" i="3"/>
  <c r="AE88" i="3"/>
  <c r="J88" i="3"/>
  <c r="B88" i="3"/>
  <c r="C88" i="3"/>
  <c r="AF88" i="3" s="1"/>
  <c r="B87" i="3"/>
  <c r="AE87" i="3"/>
  <c r="C87" i="3"/>
  <c r="AF87" i="3" s="1"/>
  <c r="J87" i="3"/>
  <c r="AE86" i="3"/>
  <c r="J86" i="3"/>
  <c r="C86" i="3"/>
  <c r="AF86" i="3" s="1"/>
  <c r="B86" i="3"/>
  <c r="C85" i="3"/>
  <c r="J85" i="3"/>
  <c r="B85" i="3"/>
  <c r="AE85" i="3"/>
  <c r="AF85" i="3"/>
  <c r="AE84" i="3"/>
  <c r="J84" i="3"/>
  <c r="C84" i="3"/>
  <c r="AF84" i="3" s="1"/>
  <c r="B84" i="3"/>
  <c r="C83" i="3"/>
  <c r="B83" i="3"/>
  <c r="AF83" i="3"/>
  <c r="AE83" i="3"/>
  <c r="J83" i="3"/>
  <c r="AE82" i="3"/>
  <c r="J82" i="3"/>
  <c r="C82" i="3"/>
  <c r="AF82" i="3" s="1"/>
  <c r="B82" i="3"/>
  <c r="J81" i="3"/>
  <c r="AE81" i="3"/>
  <c r="C81" i="3"/>
  <c r="AF81" i="3" s="1"/>
  <c r="B81" i="3"/>
  <c r="J80" i="3"/>
  <c r="C80" i="3"/>
  <c r="AF80" i="3" s="1"/>
  <c r="B80" i="3"/>
  <c r="AE80" i="3"/>
  <c r="AE79" i="3"/>
  <c r="B79" i="3"/>
  <c r="C79" i="3"/>
  <c r="AF79" i="3" s="1"/>
  <c r="J79" i="3"/>
  <c r="J78" i="3"/>
  <c r="C78" i="3"/>
  <c r="B78" i="3"/>
  <c r="AE78" i="3"/>
  <c r="AF78" i="3"/>
  <c r="AE77" i="3"/>
  <c r="J77" i="3"/>
  <c r="C77" i="3"/>
  <c r="B77" i="3"/>
  <c r="AF77" i="3"/>
  <c r="J76" i="3"/>
  <c r="AE76" i="3"/>
  <c r="C76" i="3"/>
  <c r="AF76" i="3" s="1"/>
  <c r="B76" i="3"/>
  <c r="J75" i="3"/>
  <c r="B75" i="3"/>
  <c r="C75" i="3"/>
  <c r="AF75" i="3" s="1"/>
  <c r="B74" i="3"/>
  <c r="C74" i="3"/>
  <c r="AE74" i="3"/>
  <c r="AF74" i="3"/>
  <c r="J74" i="3"/>
  <c r="C73" i="3"/>
  <c r="B73" i="3"/>
  <c r="J73" i="3"/>
  <c r="AF73" i="3"/>
  <c r="AE73" i="3"/>
  <c r="B72" i="3"/>
  <c r="J72" i="3"/>
  <c r="C72" i="3"/>
  <c r="AF72" i="3" s="1"/>
  <c r="AE72" i="3"/>
  <c r="C71" i="3"/>
  <c r="B71" i="3"/>
  <c r="AE71" i="3"/>
  <c r="AF71" i="3"/>
  <c r="J71" i="3"/>
  <c r="B70" i="3"/>
  <c r="C70" i="3"/>
  <c r="J70" i="3"/>
  <c r="AE70" i="3"/>
  <c r="AF70" i="3"/>
  <c r="AE69" i="3"/>
  <c r="J69" i="3"/>
  <c r="C69" i="3"/>
  <c r="B69" i="3"/>
  <c r="AF69" i="3"/>
  <c r="B68" i="3"/>
  <c r="C68" i="3"/>
  <c r="J68" i="3"/>
  <c r="AE68" i="3"/>
  <c r="AF68" i="3"/>
  <c r="B67" i="3"/>
  <c r="C67" i="3"/>
  <c r="J67" i="3"/>
  <c r="AE67" i="3"/>
  <c r="AF67" i="3"/>
  <c r="B66" i="3"/>
  <c r="J66" i="3"/>
  <c r="AE66" i="3"/>
  <c r="C66" i="3"/>
  <c r="AF66" i="3" s="1"/>
  <c r="AE65" i="3"/>
  <c r="J65" i="3"/>
  <c r="C65" i="3"/>
  <c r="AF65" i="3" s="1"/>
  <c r="B65" i="3"/>
  <c r="J64" i="3"/>
  <c r="AE64" i="3"/>
  <c r="C64" i="3"/>
  <c r="AF64" i="3" s="1"/>
  <c r="B64" i="3"/>
  <c r="AE63" i="3"/>
  <c r="B63" i="3"/>
  <c r="C63" i="3"/>
  <c r="J63" i="3"/>
  <c r="AF63" i="3"/>
  <c r="B62" i="3"/>
  <c r="C62" i="3"/>
  <c r="J62" i="3"/>
  <c r="AE62" i="3"/>
  <c r="AF62" i="3"/>
  <c r="B61" i="3"/>
  <c r="C61" i="3"/>
  <c r="J61" i="3"/>
  <c r="AE61" i="3"/>
  <c r="AF61" i="3"/>
  <c r="J60" i="3"/>
  <c r="C60" i="3"/>
  <c r="AE60" i="3"/>
  <c r="B60" i="3"/>
  <c r="AF60" i="3"/>
  <c r="AE59" i="3"/>
  <c r="J59" i="3"/>
  <c r="C59" i="3"/>
  <c r="AF59" i="3" s="1"/>
  <c r="B59" i="3"/>
  <c r="C58" i="3"/>
  <c r="J58" i="3"/>
  <c r="AE58" i="3"/>
  <c r="AF58" i="3"/>
  <c r="B58" i="3"/>
  <c r="AE57" i="3"/>
  <c r="J57" i="3"/>
  <c r="B57" i="3"/>
  <c r="C57" i="3"/>
  <c r="AF57" i="3" s="1"/>
  <c r="AE56" i="3"/>
  <c r="J56" i="3"/>
  <c r="C56" i="3"/>
  <c r="AF56" i="3" s="1"/>
  <c r="B56" i="3"/>
  <c r="AE55" i="3"/>
  <c r="J55" i="3"/>
  <c r="B55" i="3"/>
  <c r="C55" i="3"/>
  <c r="AF55" i="3" s="1"/>
  <c r="AE54" i="3"/>
  <c r="J54" i="3"/>
  <c r="C54" i="3"/>
  <c r="AF54" i="3" s="1"/>
  <c r="B54" i="3"/>
  <c r="B53" i="3"/>
  <c r="J53" i="3"/>
  <c r="AE53" i="3"/>
  <c r="C53" i="3"/>
  <c r="AF53" i="3" s="1"/>
  <c r="B52" i="3"/>
  <c r="AE52" i="3"/>
  <c r="J52" i="3"/>
  <c r="C52" i="3"/>
  <c r="AF52" i="3" s="1"/>
  <c r="J51" i="3"/>
  <c r="C51" i="3"/>
  <c r="B51" i="3"/>
  <c r="AF51" i="3"/>
  <c r="AE51" i="3"/>
  <c r="AE50" i="3"/>
  <c r="J50" i="3"/>
  <c r="C50" i="3"/>
  <c r="AF50" i="3" s="1"/>
  <c r="B50" i="3"/>
  <c r="AE49" i="3"/>
  <c r="B49" i="3"/>
  <c r="C49" i="3"/>
  <c r="AF49" i="3" s="1"/>
  <c r="J49" i="3"/>
  <c r="C48" i="3"/>
  <c r="AF48" i="3" s="1"/>
  <c r="J48" i="3"/>
  <c r="AE48" i="3"/>
  <c r="B48" i="3"/>
  <c r="B47" i="3"/>
  <c r="J47" i="3"/>
  <c r="AE47" i="3"/>
  <c r="C47" i="3"/>
  <c r="AF47" i="3" s="1"/>
  <c r="B46" i="3"/>
  <c r="C46" i="3"/>
  <c r="AF46" i="3" s="1"/>
  <c r="J46" i="3"/>
  <c r="AE46" i="3"/>
  <c r="AE45" i="3"/>
  <c r="B45" i="3"/>
  <c r="C45" i="3"/>
  <c r="AF45" i="3" s="1"/>
  <c r="J45" i="3"/>
  <c r="AE44" i="3"/>
  <c r="C44" i="3"/>
  <c r="AF44" i="3" s="1"/>
  <c r="J44" i="3"/>
  <c r="B44" i="3"/>
  <c r="AE43" i="3"/>
  <c r="B43" i="3"/>
  <c r="C43" i="3"/>
  <c r="AF43" i="3" s="1"/>
  <c r="J43" i="3"/>
  <c r="AE42" i="3"/>
  <c r="J42" i="3"/>
  <c r="C42" i="3"/>
  <c r="AF42" i="3" s="1"/>
  <c r="B42" i="3"/>
  <c r="AE41" i="3"/>
  <c r="C41" i="3"/>
  <c r="AF41" i="3" s="1"/>
  <c r="B41" i="3"/>
  <c r="J41" i="3"/>
  <c r="B40" i="3"/>
  <c r="C40" i="3"/>
  <c r="AF40" i="3" s="1"/>
  <c r="J40" i="3"/>
  <c r="AE40" i="3"/>
  <c r="J39" i="3"/>
  <c r="AE39" i="3"/>
  <c r="B39" i="3"/>
  <c r="C39" i="3"/>
  <c r="AF39" i="3" s="1"/>
  <c r="AE38" i="3"/>
  <c r="B38" i="3"/>
  <c r="C38" i="3"/>
  <c r="AF38" i="3" s="1"/>
  <c r="J38" i="3"/>
  <c r="AE37" i="3"/>
  <c r="B37" i="3"/>
  <c r="C37" i="3"/>
  <c r="AF37" i="3" s="1"/>
  <c r="J37" i="3"/>
  <c r="B36" i="3"/>
  <c r="C36" i="3"/>
  <c r="AF36" i="3" s="1"/>
  <c r="J36" i="3"/>
  <c r="AE36" i="3"/>
  <c r="B35" i="3"/>
  <c r="C35" i="3"/>
  <c r="AF35" i="3" s="1"/>
  <c r="J35" i="3"/>
  <c r="AE35" i="3"/>
  <c r="J34" i="3"/>
  <c r="C34" i="3"/>
  <c r="AF34" i="3" s="1"/>
  <c r="B34" i="3"/>
  <c r="AE34" i="3"/>
  <c r="AE33" i="3"/>
  <c r="J33" i="3"/>
  <c r="C33" i="3"/>
  <c r="AF33" i="3" s="1"/>
  <c r="B33" i="3"/>
  <c r="O32" i="1"/>
  <c r="AE32" i="3"/>
  <c r="B32" i="3"/>
  <c r="C32" i="3"/>
  <c r="AF32" i="3" s="1"/>
  <c r="J32" i="3"/>
  <c r="O31" i="1"/>
  <c r="C31" i="3"/>
  <c r="AF31" i="3" s="1"/>
  <c r="B31" i="3"/>
  <c r="AE31" i="3"/>
  <c r="J31" i="3"/>
  <c r="O30" i="1"/>
  <c r="B30" i="3"/>
  <c r="C30" i="3"/>
  <c r="AF30" i="3" s="1"/>
  <c r="J30" i="3"/>
  <c r="AE30" i="3"/>
  <c r="O29" i="1"/>
  <c r="B29" i="3"/>
  <c r="C29" i="3"/>
  <c r="AF29" i="3" s="1"/>
  <c r="J29" i="3"/>
  <c r="AE29" i="3"/>
  <c r="O28" i="1"/>
  <c r="B28" i="3"/>
  <c r="C28" i="3"/>
  <c r="AF28" i="3" s="1"/>
  <c r="AE28" i="3"/>
  <c r="J28" i="3"/>
  <c r="B27" i="3"/>
  <c r="O27" i="1"/>
  <c r="C27" i="3"/>
  <c r="AF27" i="3" s="1"/>
  <c r="J27" i="3"/>
  <c r="AE27" i="3"/>
  <c r="J26" i="3"/>
  <c r="C26" i="3"/>
  <c r="AF26" i="3" s="1"/>
  <c r="O26" i="1"/>
  <c r="AE26" i="3"/>
  <c r="B26" i="3"/>
  <c r="AE25" i="3"/>
  <c r="B25" i="3"/>
  <c r="J25" i="3"/>
  <c r="C25" i="3"/>
  <c r="AF25" i="3" s="1"/>
  <c r="O25" i="1"/>
  <c r="O24" i="1"/>
  <c r="AE24" i="3"/>
  <c r="C24" i="3"/>
  <c r="AF24" i="3" s="1"/>
  <c r="J24" i="3"/>
  <c r="C23" i="3"/>
  <c r="AF23" i="3" s="1"/>
  <c r="B23" i="3"/>
  <c r="AE23" i="3"/>
  <c r="O23" i="1"/>
  <c r="J23" i="3"/>
  <c r="AE22" i="3"/>
  <c r="O22" i="1"/>
  <c r="J22" i="3"/>
  <c r="C22" i="3"/>
  <c r="AF22" i="3" s="1"/>
  <c r="B22" i="3"/>
  <c r="J21" i="3"/>
  <c r="C21" i="3"/>
  <c r="AF21" i="3" s="1"/>
  <c r="O21" i="1"/>
  <c r="AE21" i="3"/>
  <c r="B21" i="3"/>
  <c r="C20" i="3"/>
  <c r="AF20" i="3" s="1"/>
  <c r="AE20" i="3"/>
  <c r="J20" i="3"/>
  <c r="O20" i="1"/>
  <c r="C19" i="3"/>
  <c r="AF19" i="3" s="1"/>
  <c r="J19" i="3"/>
  <c r="AE19" i="3"/>
  <c r="O19" i="1"/>
  <c r="AE18" i="3"/>
  <c r="J18" i="3"/>
  <c r="B18" i="3"/>
  <c r="O18" i="1"/>
  <c r="C18" i="3"/>
  <c r="AF18" i="3" s="1"/>
  <c r="AE17" i="3"/>
  <c r="O17" i="1"/>
  <c r="J17" i="3"/>
  <c r="C17" i="3"/>
  <c r="AF17" i="3" s="1"/>
  <c r="C16" i="3"/>
  <c r="AF16" i="3" s="1"/>
  <c r="AE16" i="3"/>
  <c r="J16" i="3"/>
  <c r="O16" i="1"/>
  <c r="B16" i="3"/>
  <c r="J15" i="3"/>
  <c r="B15" i="3"/>
  <c r="AE15" i="3"/>
  <c r="C15" i="3"/>
  <c r="AF15" i="3" s="1"/>
  <c r="O15" i="1"/>
  <c r="C14" i="3"/>
  <c r="AF14" i="3" s="1"/>
  <c r="J14" i="3"/>
  <c r="O14" i="1"/>
  <c r="B14" i="3"/>
  <c r="AE14" i="3"/>
  <c r="AE13" i="3"/>
  <c r="B13" i="3"/>
  <c r="J13" i="3"/>
  <c r="C13" i="3"/>
  <c r="AF13" i="3" s="1"/>
  <c r="O13" i="1"/>
  <c r="C12" i="3"/>
  <c r="AF12" i="3" s="1"/>
  <c r="B12" i="3"/>
  <c r="J12" i="3"/>
  <c r="O12" i="1"/>
  <c r="AE12" i="3"/>
  <c r="O11" i="1"/>
  <c r="J11" i="3"/>
  <c r="AE11" i="3"/>
  <c r="C11" i="3"/>
  <c r="AF11" i="3" s="1"/>
  <c r="B11" i="3"/>
  <c r="J10" i="3"/>
  <c r="AE10" i="3"/>
  <c r="O10" i="1"/>
  <c r="C10" i="3"/>
  <c r="AF10" i="3" s="1"/>
  <c r="B10" i="3"/>
  <c r="J9" i="3"/>
  <c r="AE9" i="3"/>
  <c r="O9" i="1"/>
  <c r="C9" i="3"/>
  <c r="AF9" i="3" s="1"/>
  <c r="O8" i="1"/>
  <c r="C8" i="3"/>
  <c r="AF8" i="3" s="1"/>
  <c r="J8" i="3"/>
  <c r="AE8" i="3"/>
  <c r="B8" i="3"/>
  <c r="AE7" i="3"/>
  <c r="C7" i="3"/>
  <c r="AF7" i="3" s="1"/>
  <c r="O7" i="1"/>
  <c r="J7" i="3"/>
  <c r="O6" i="1"/>
  <c r="B6" i="3"/>
  <c r="J6" i="3"/>
  <c r="C6" i="3"/>
  <c r="AE6" i="3"/>
  <c r="Q6" i="3" l="1"/>
  <c r="AF6" i="3"/>
  <c r="B32" i="4" s="1"/>
  <c r="AB6" i="3"/>
  <c r="Y6" i="3"/>
  <c r="F6" i="3"/>
  <c r="R6" i="3" l="1"/>
  <c r="S6" i="3" s="1"/>
  <c r="AD6" i="3" s="1"/>
  <c r="AC7" i="3" s="1"/>
  <c r="G6" i="3"/>
  <c r="H6" i="3" s="1"/>
  <c r="AA6" i="3" s="1"/>
  <c r="P6" i="1" l="1"/>
  <c r="T6" i="3"/>
  <c r="B12" i="1"/>
  <c r="T6" i="1"/>
  <c r="Z7" i="3"/>
  <c r="R6" i="1"/>
  <c r="C12" i="1"/>
  <c r="U6" i="1"/>
  <c r="I6" i="3"/>
  <c r="U6" i="3" l="1"/>
  <c r="Q6" i="1"/>
  <c r="K6" i="3"/>
  <c r="S6" i="1"/>
  <c r="D12" i="1"/>
  <c r="L6" i="3" l="1"/>
  <c r="O6" i="3" s="1"/>
  <c r="P7" i="3"/>
  <c r="W6" i="3"/>
  <c r="M6" i="3"/>
  <c r="V6" i="3" s="1"/>
  <c r="X6" i="3" l="1"/>
  <c r="Q7" i="3"/>
  <c r="R7" i="3" s="1"/>
  <c r="AB7" i="3"/>
  <c r="D7" i="3"/>
  <c r="N6" i="3"/>
  <c r="E7" i="3" s="1"/>
  <c r="T7" i="1" l="1"/>
  <c r="S7" i="3"/>
  <c r="F7" i="3"/>
  <c r="Y7" i="3"/>
  <c r="G7" i="3" l="1"/>
  <c r="P7" i="1"/>
  <c r="T7" i="3"/>
  <c r="AD7" i="3"/>
  <c r="AC8" i="3" s="1"/>
  <c r="U7" i="1" l="1"/>
  <c r="H7" i="3"/>
  <c r="Q7" i="1"/>
  <c r="U7" i="3"/>
  <c r="R7" i="1" l="1"/>
  <c r="AA7" i="3"/>
  <c r="Z8" i="3" s="1"/>
  <c r="I7" i="3"/>
  <c r="P8" i="3"/>
  <c r="W7" i="3"/>
  <c r="S7" i="1" l="1"/>
  <c r="K7" i="3"/>
  <c r="Q8" i="3"/>
  <c r="AB8" i="3"/>
  <c r="R8" i="3" l="1"/>
  <c r="L7" i="3"/>
  <c r="O7" i="3" s="1"/>
  <c r="X7" i="3" s="1"/>
  <c r="M7" i="3"/>
  <c r="T8" i="1" l="1"/>
  <c r="S8" i="3"/>
  <c r="V7" i="3"/>
  <c r="N7" i="3"/>
  <c r="E8" i="3" s="1"/>
  <c r="D8" i="3"/>
  <c r="F8" i="3" l="1"/>
  <c r="Y8" i="3"/>
  <c r="AD8" i="3"/>
  <c r="AC9" i="3" s="1"/>
  <c r="P8" i="1"/>
  <c r="T8" i="3"/>
  <c r="G8" i="3" l="1"/>
  <c r="Q8" i="1"/>
  <c r="U8" i="3"/>
  <c r="U8" i="1" l="1"/>
  <c r="H8" i="3"/>
  <c r="W8" i="3"/>
  <c r="P9" i="3"/>
  <c r="AA8" i="3" l="1"/>
  <c r="Z9" i="3" s="1"/>
  <c r="R8" i="1"/>
  <c r="I8" i="3"/>
  <c r="AB9" i="3"/>
  <c r="Q9" i="3"/>
  <c r="S8" i="1" l="1"/>
  <c r="K8" i="3"/>
  <c r="R9" i="3"/>
  <c r="S9" i="3" s="1"/>
  <c r="L8" i="3" l="1"/>
  <c r="O8" i="3" s="1"/>
  <c r="X8" i="3" s="1"/>
  <c r="M8" i="3"/>
  <c r="T9" i="3"/>
  <c r="T9" i="1"/>
  <c r="AD9" i="3"/>
  <c r="AC10" i="3" s="1"/>
  <c r="P9" i="1"/>
  <c r="N8" i="3" l="1"/>
  <c r="E9" i="3" s="1"/>
  <c r="D9" i="3"/>
  <c r="V8" i="3"/>
  <c r="Q9" i="1"/>
  <c r="U9" i="3"/>
  <c r="Y9" i="3" l="1"/>
  <c r="F9" i="3"/>
  <c r="G9" i="3" s="1"/>
  <c r="P10" i="3"/>
  <c r="W9" i="3"/>
  <c r="U9" i="1" l="1"/>
  <c r="Q10" i="3"/>
  <c r="AB10" i="3"/>
  <c r="H9" i="3"/>
  <c r="I9" i="3" s="1"/>
  <c r="S9" i="1" l="1"/>
  <c r="K9" i="3"/>
  <c r="M9" i="3" s="1"/>
  <c r="R10" i="3"/>
  <c r="S10" i="3" s="1"/>
  <c r="AA9" i="3"/>
  <c r="Z10" i="3" s="1"/>
  <c r="R9" i="1"/>
  <c r="D10" i="3" l="1"/>
  <c r="N9" i="3"/>
  <c r="E10" i="3" s="1"/>
  <c r="V9" i="3"/>
  <c r="L9" i="3"/>
  <c r="O9" i="3" s="1"/>
  <c r="X9" i="3" s="1"/>
  <c r="T10" i="3"/>
  <c r="T10" i="1"/>
  <c r="AD10" i="3"/>
  <c r="AC11" i="3" s="1"/>
  <c r="P10" i="1"/>
  <c r="Y10" i="3" l="1"/>
  <c r="F10" i="3"/>
  <c r="U10" i="3"/>
  <c r="Q10" i="1"/>
  <c r="G10" i="3" l="1"/>
  <c r="P11" i="3"/>
  <c r="W10" i="3"/>
  <c r="U10" i="1" l="1"/>
  <c r="H10" i="3"/>
  <c r="Q11" i="3"/>
  <c r="AB11" i="3"/>
  <c r="R10" i="1" l="1"/>
  <c r="I10" i="3"/>
  <c r="AA10" i="3"/>
  <c r="Z11" i="3" s="1"/>
  <c r="R11" i="3"/>
  <c r="K10" i="3" l="1"/>
  <c r="S10" i="1"/>
  <c r="T11" i="1"/>
  <c r="S11" i="3"/>
  <c r="L10" i="3" l="1"/>
  <c r="O10" i="3" s="1"/>
  <c r="X10" i="3" s="1"/>
  <c r="M10" i="3"/>
  <c r="D11" i="3" s="1"/>
  <c r="P11" i="1"/>
  <c r="T11" i="3"/>
  <c r="AD11" i="3"/>
  <c r="AC12" i="3" s="1"/>
  <c r="V10" i="3" l="1"/>
  <c r="N10" i="3"/>
  <c r="E11" i="3" s="1"/>
  <c r="Q11" i="1"/>
  <c r="U11" i="3"/>
  <c r="F11" i="3"/>
  <c r="Y11" i="3"/>
  <c r="W11" i="3" l="1"/>
  <c r="P12" i="3"/>
  <c r="G11" i="3"/>
  <c r="H11" i="3" s="1"/>
  <c r="Q12" i="3" l="1"/>
  <c r="R12" i="3" s="1"/>
  <c r="AB12" i="3"/>
  <c r="U11" i="1"/>
  <c r="I11" i="3"/>
  <c r="AA11" i="3"/>
  <c r="Z12" i="3" s="1"/>
  <c r="R11" i="1"/>
  <c r="T12" i="1" l="1"/>
  <c r="S12" i="3"/>
  <c r="K11" i="3"/>
  <c r="S11" i="1"/>
  <c r="AD12" i="3" l="1"/>
  <c r="AC13" i="3" s="1"/>
  <c r="T12" i="3"/>
  <c r="P12" i="1"/>
  <c r="L11" i="3"/>
  <c r="O11" i="3" s="1"/>
  <c r="X11" i="3" s="1"/>
  <c r="M11" i="3"/>
  <c r="U12" i="3" l="1"/>
  <c r="Q12" i="1"/>
  <c r="N11" i="3"/>
  <c r="E12" i="3" s="1"/>
  <c r="D12" i="3"/>
  <c r="V11" i="3"/>
  <c r="P13" i="3" l="1"/>
  <c r="W12" i="3"/>
  <c r="Y12" i="3"/>
  <c r="F12" i="3"/>
  <c r="AB13" i="3" l="1"/>
  <c r="Q13" i="3"/>
  <c r="G12" i="3"/>
  <c r="H12" i="3" s="1"/>
  <c r="R13" i="3" l="1"/>
  <c r="I12" i="3"/>
  <c r="U12" i="1"/>
  <c r="AA12" i="3"/>
  <c r="Z13" i="3" s="1"/>
  <c r="R12" i="1"/>
  <c r="T13" i="1" l="1"/>
  <c r="S13" i="3"/>
  <c r="K12" i="3"/>
  <c r="S12" i="1"/>
  <c r="T13" i="3" l="1"/>
  <c r="P13" i="1"/>
  <c r="AD13" i="3"/>
  <c r="AC14" i="3" s="1"/>
  <c r="U13" i="3"/>
  <c r="Q13" i="1"/>
  <c r="L12" i="3"/>
  <c r="O12" i="3" s="1"/>
  <c r="X12" i="3" s="1"/>
  <c r="M12" i="3"/>
  <c r="V12" i="3" s="1"/>
  <c r="P14" i="3" l="1"/>
  <c r="W13" i="3"/>
  <c r="N12" i="3"/>
  <c r="E13" i="3" s="1"/>
  <c r="D13" i="3"/>
  <c r="AB14" i="3" l="1"/>
  <c r="Q14" i="3"/>
  <c r="R14" i="3" s="1"/>
  <c r="Y13" i="3"/>
  <c r="F13" i="3"/>
  <c r="T14" i="1" l="1"/>
  <c r="S14" i="3"/>
  <c r="G13" i="3"/>
  <c r="H13" i="3" s="1"/>
  <c r="AD14" i="3" l="1"/>
  <c r="AC15" i="3" s="1"/>
  <c r="P14" i="1"/>
  <c r="T14" i="3"/>
  <c r="Q14" i="1"/>
  <c r="U14" i="3"/>
  <c r="U13" i="1"/>
  <c r="I13" i="3"/>
  <c r="AA13" i="3"/>
  <c r="Z14" i="3" s="1"/>
  <c r="R13" i="1"/>
  <c r="P15" i="3" l="1"/>
  <c r="W14" i="3"/>
  <c r="K13" i="3"/>
  <c r="M13" i="3" s="1"/>
  <c r="S13" i="1"/>
  <c r="AB15" i="3" l="1"/>
  <c r="Q15" i="3"/>
  <c r="R15" i="3" s="1"/>
  <c r="L13" i="3"/>
  <c r="O13" i="3" s="1"/>
  <c r="X13" i="3" s="1"/>
  <c r="V13" i="3"/>
  <c r="N13" i="3"/>
  <c r="E14" i="3" s="1"/>
  <c r="D14" i="3"/>
  <c r="S15" i="3" l="1"/>
  <c r="T15" i="1"/>
  <c r="Y14" i="3"/>
  <c r="F14" i="3"/>
  <c r="P15" i="1" l="1"/>
  <c r="AD15" i="3"/>
  <c r="AC16" i="3" s="1"/>
  <c r="T15" i="3"/>
  <c r="G14" i="3"/>
  <c r="H14" i="3" s="1"/>
  <c r="Q15" i="1" l="1"/>
  <c r="U15" i="3"/>
  <c r="I14" i="3"/>
  <c r="U14" i="1"/>
  <c r="R14" i="1"/>
  <c r="AA14" i="3"/>
  <c r="Z15" i="3" s="1"/>
  <c r="W15" i="3" l="1"/>
  <c r="P16" i="3"/>
  <c r="AB16" i="3"/>
  <c r="Q16" i="3"/>
  <c r="R16" i="3" s="1"/>
  <c r="K14" i="3"/>
  <c r="S14" i="1"/>
  <c r="S16" i="3" l="1"/>
  <c r="T16" i="1"/>
  <c r="L14" i="3"/>
  <c r="O14" i="3" s="1"/>
  <c r="X14" i="3" s="1"/>
  <c r="M14" i="3"/>
  <c r="T16" i="3" l="1"/>
  <c r="P16" i="1"/>
  <c r="AD16" i="3"/>
  <c r="AC17" i="3" s="1"/>
  <c r="N14" i="3"/>
  <c r="E15" i="3" s="1"/>
  <c r="D15" i="3"/>
  <c r="V14" i="3"/>
  <c r="Q16" i="1" l="1"/>
  <c r="U16" i="3"/>
  <c r="F15" i="3"/>
  <c r="Y15" i="3"/>
  <c r="W16" i="3" l="1"/>
  <c r="P17" i="3"/>
  <c r="G15" i="3"/>
  <c r="H15" i="3" s="1"/>
  <c r="AB17" i="3" l="1"/>
  <c r="Q17" i="3"/>
  <c r="I15" i="3"/>
  <c r="U15" i="1"/>
  <c r="AA15" i="3"/>
  <c r="Z16" i="3" s="1"/>
  <c r="R15" i="1"/>
  <c r="R17" i="3" l="1"/>
  <c r="K15" i="3"/>
  <c r="S15" i="1"/>
  <c r="S17" i="3" l="1"/>
  <c r="T17" i="1"/>
  <c r="L15" i="3"/>
  <c r="O15" i="3" s="1"/>
  <c r="X15" i="3" s="1"/>
  <c r="M15" i="3"/>
  <c r="V15" i="3" s="1"/>
  <c r="AD17" i="3" l="1"/>
  <c r="AC18" i="3" s="1"/>
  <c r="P17" i="1"/>
  <c r="T17" i="3"/>
  <c r="D16" i="3"/>
  <c r="N15" i="3"/>
  <c r="E16" i="3" s="1"/>
  <c r="U17" i="3" l="1"/>
  <c r="W17" i="3" s="1"/>
  <c r="Q17" i="1"/>
  <c r="Y16" i="3"/>
  <c r="F16" i="3"/>
  <c r="P18" i="3" l="1"/>
  <c r="L7" i="1"/>
  <c r="G16" i="3"/>
  <c r="H16" i="3" s="1"/>
  <c r="AB18" i="3" l="1"/>
  <c r="Q18" i="3"/>
  <c r="R18" i="3" s="1"/>
  <c r="U16" i="1"/>
  <c r="I16" i="3"/>
  <c r="AA16" i="3"/>
  <c r="Z17" i="3" s="1"/>
  <c r="R16" i="1"/>
  <c r="T18" i="1" l="1"/>
  <c r="S18" i="3"/>
  <c r="T18" i="3" s="1"/>
  <c r="K16" i="3"/>
  <c r="S16" i="1"/>
  <c r="U18" i="3" l="1"/>
  <c r="Q18" i="1"/>
  <c r="AD18" i="3"/>
  <c r="AC19" i="3" s="1"/>
  <c r="P18" i="1"/>
  <c r="L16" i="3"/>
  <c r="O16" i="3" s="1"/>
  <c r="X16" i="3" s="1"/>
  <c r="M16" i="3"/>
  <c r="N16" i="3" s="1"/>
  <c r="E17" i="3" s="1"/>
  <c r="P19" i="3" l="1"/>
  <c r="W18" i="3"/>
  <c r="D17" i="3"/>
  <c r="V16" i="3"/>
  <c r="AB19" i="3" l="1"/>
  <c r="Q19" i="3"/>
  <c r="R19" i="3" s="1"/>
  <c r="Y17" i="3"/>
  <c r="F17" i="3"/>
  <c r="G17" i="3" s="1"/>
  <c r="H17" i="3" s="1"/>
  <c r="S19" i="3" l="1"/>
  <c r="T19" i="3" s="1"/>
  <c r="T19" i="1"/>
  <c r="I17" i="3"/>
  <c r="U17" i="1"/>
  <c r="AA17" i="3"/>
  <c r="Z18" i="3" s="1"/>
  <c r="R17" i="1"/>
  <c r="Q19" i="1" l="1"/>
  <c r="U19" i="3"/>
  <c r="P19" i="1"/>
  <c r="AD19" i="3"/>
  <c r="AC20" i="3" s="1"/>
  <c r="K17" i="3"/>
  <c r="S17" i="1"/>
  <c r="P20" i="3" l="1"/>
  <c r="W19" i="3"/>
  <c r="L17" i="3"/>
  <c r="O17" i="3" s="1"/>
  <c r="X17" i="3" s="1"/>
  <c r="M17" i="3"/>
  <c r="Q20" i="3" l="1"/>
  <c r="AB20" i="3"/>
  <c r="M7" i="1"/>
  <c r="N17" i="3"/>
  <c r="E18" i="3" s="1"/>
  <c r="D18" i="3"/>
  <c r="V17" i="3"/>
  <c r="R20" i="3" l="1"/>
  <c r="F18" i="3"/>
  <c r="Y18" i="3"/>
  <c r="T20" i="1" l="1"/>
  <c r="S20" i="3"/>
  <c r="P20" i="1" s="1"/>
  <c r="G18" i="3"/>
  <c r="T20" i="3" l="1"/>
  <c r="AD20" i="3"/>
  <c r="AC21" i="3" s="1"/>
  <c r="U18" i="1"/>
  <c r="H18" i="3"/>
  <c r="Q20" i="1" l="1"/>
  <c r="U20" i="3"/>
  <c r="R18" i="1"/>
  <c r="I18" i="3"/>
  <c r="AA18" i="3"/>
  <c r="Z19" i="3" s="1"/>
  <c r="P21" i="3" l="1"/>
  <c r="W20" i="3"/>
  <c r="S18" i="1"/>
  <c r="K18" i="3"/>
  <c r="L18" i="3" s="1"/>
  <c r="O18" i="3" s="1"/>
  <c r="X18" i="3" s="1"/>
  <c r="Q21" i="3" l="1"/>
  <c r="AB21" i="3"/>
  <c r="M18" i="3"/>
  <c r="V18" i="3" s="1"/>
  <c r="R21" i="3" l="1"/>
  <c r="D19" i="3"/>
  <c r="N18" i="3"/>
  <c r="E19" i="3" s="1"/>
  <c r="T21" i="1" l="1"/>
  <c r="S21" i="3"/>
  <c r="Y19" i="3"/>
  <c r="F19" i="3"/>
  <c r="T21" i="3" l="1"/>
  <c r="P21" i="1"/>
  <c r="AD21" i="3"/>
  <c r="AC22" i="3" s="1"/>
  <c r="G19" i="3"/>
  <c r="U21" i="3" l="1"/>
  <c r="Q21" i="1"/>
  <c r="U19" i="1"/>
  <c r="H19" i="3"/>
  <c r="I19" i="3" s="1"/>
  <c r="P22" i="3" l="1"/>
  <c r="W21" i="3"/>
  <c r="S19" i="1"/>
  <c r="K19" i="3"/>
  <c r="AA19" i="3"/>
  <c r="Z20" i="3" s="1"/>
  <c r="R19" i="1"/>
  <c r="AB22" i="3" l="1"/>
  <c r="Q22" i="3"/>
  <c r="M19" i="3"/>
  <c r="L19" i="3"/>
  <c r="O19" i="3" s="1"/>
  <c r="X19" i="3" s="1"/>
  <c r="R22" i="3" l="1"/>
  <c r="D20" i="3"/>
  <c r="V19" i="3"/>
  <c r="N19" i="3"/>
  <c r="E20" i="3" s="1"/>
  <c r="S22" i="3" l="1"/>
  <c r="T22" i="3" s="1"/>
  <c r="T22" i="1"/>
  <c r="F20" i="3"/>
  <c r="Y20" i="3"/>
  <c r="P22" i="1" l="1"/>
  <c r="AD22" i="3"/>
  <c r="AC23" i="3" s="1"/>
  <c r="Q22" i="1"/>
  <c r="U22" i="3"/>
  <c r="G20" i="3"/>
  <c r="W22" i="3" l="1"/>
  <c r="P23" i="3"/>
  <c r="U20" i="1"/>
  <c r="H20" i="3"/>
  <c r="I20" i="3" s="1"/>
  <c r="AB23" i="3" l="1"/>
  <c r="Q23" i="3"/>
  <c r="R23" i="3" s="1"/>
  <c r="S20" i="1"/>
  <c r="K20" i="3"/>
  <c r="R20" i="1"/>
  <c r="AA20" i="3"/>
  <c r="Z21" i="3" s="1"/>
  <c r="S23" i="3" l="1"/>
  <c r="T23" i="3" s="1"/>
  <c r="T23" i="1"/>
  <c r="L20" i="3"/>
  <c r="O20" i="3" s="1"/>
  <c r="X20" i="3" s="1"/>
  <c r="M20" i="3"/>
  <c r="V20" i="3" s="1"/>
  <c r="P23" i="1" l="1"/>
  <c r="AD23" i="3"/>
  <c r="AC24" i="3" s="1"/>
  <c r="Q23" i="1"/>
  <c r="U23" i="3"/>
  <c r="D21" i="3"/>
  <c r="N20" i="3"/>
  <c r="E21" i="3" s="1"/>
  <c r="P24" i="3" l="1"/>
  <c r="W23" i="3"/>
  <c r="F21" i="3"/>
  <c r="Y21" i="3"/>
  <c r="Q24" i="3" l="1"/>
  <c r="AB24" i="3"/>
  <c r="R24" i="3" s="1"/>
  <c r="G21" i="3"/>
  <c r="T24" i="1" l="1"/>
  <c r="S24" i="3"/>
  <c r="U21" i="1"/>
  <c r="H21" i="3"/>
  <c r="AD24" i="3" l="1"/>
  <c r="AC25" i="3" s="1"/>
  <c r="P24" i="1"/>
  <c r="T24" i="3"/>
  <c r="I21" i="3"/>
  <c r="R21" i="1"/>
  <c r="AA21" i="3"/>
  <c r="Z22" i="3" s="1"/>
  <c r="U24" i="3" l="1"/>
  <c r="Q24" i="1"/>
  <c r="S21" i="1"/>
  <c r="K21" i="3"/>
  <c r="P25" i="3" l="1"/>
  <c r="W24" i="3"/>
  <c r="M21" i="3"/>
  <c r="L21" i="3"/>
  <c r="O21" i="3" s="1"/>
  <c r="X21" i="3" s="1"/>
  <c r="AB25" i="3" l="1"/>
  <c r="Q25" i="3"/>
  <c r="R25" i="3" s="1"/>
  <c r="D22" i="3"/>
  <c r="V21" i="3"/>
  <c r="N21" i="3"/>
  <c r="E22" i="3" s="1"/>
  <c r="T25" i="1" l="1"/>
  <c r="S25" i="3"/>
  <c r="AD25" i="3" s="1"/>
  <c r="AC26" i="3" s="1"/>
  <c r="Y22" i="3"/>
  <c r="F22" i="3"/>
  <c r="T25" i="3" l="1"/>
  <c r="P25" i="1"/>
  <c r="G22" i="3"/>
  <c r="Q25" i="1" l="1"/>
  <c r="U25" i="3"/>
  <c r="U22" i="1"/>
  <c r="H22" i="3"/>
  <c r="P26" i="3" l="1"/>
  <c r="W25" i="3"/>
  <c r="Q26" i="3"/>
  <c r="AB26" i="3"/>
  <c r="AA22" i="3"/>
  <c r="Z23" i="3" s="1"/>
  <c r="R22" i="1"/>
  <c r="I22" i="3"/>
  <c r="K22" i="3" l="1"/>
  <c r="S22" i="1"/>
  <c r="R26" i="3"/>
  <c r="S26" i="3" l="1"/>
  <c r="T26" i="3" s="1"/>
  <c r="T26" i="1"/>
  <c r="L22" i="3"/>
  <c r="O22" i="3" s="1"/>
  <c r="X22" i="3" s="1"/>
  <c r="M22" i="3"/>
  <c r="AD26" i="3" l="1"/>
  <c r="AC27" i="3" s="1"/>
  <c r="P26" i="1"/>
  <c r="U26" i="3"/>
  <c r="Q26" i="1"/>
  <c r="V22" i="3"/>
  <c r="N22" i="3"/>
  <c r="E23" i="3" s="1"/>
  <c r="D23" i="3"/>
  <c r="F23" i="3" l="1"/>
  <c r="G23" i="3" s="1"/>
  <c r="U23" i="1" s="1"/>
  <c r="Y23" i="3"/>
  <c r="P27" i="3"/>
  <c r="W26" i="3"/>
  <c r="H23" i="3" l="1"/>
  <c r="AA23" i="3" s="1"/>
  <c r="Z24" i="3" s="1"/>
  <c r="Q27" i="3"/>
  <c r="AB27" i="3"/>
  <c r="R27" i="3" l="1"/>
  <c r="R23" i="1"/>
  <c r="I23" i="3"/>
  <c r="S27" i="3" l="1"/>
  <c r="P27" i="1" s="1"/>
  <c r="T27" i="1"/>
  <c r="K23" i="3"/>
  <c r="S23" i="1"/>
  <c r="T27" i="3" l="1"/>
  <c r="AD27" i="3"/>
  <c r="AC28" i="3" s="1"/>
  <c r="L23" i="3"/>
  <c r="O23" i="3" s="1"/>
  <c r="X23" i="3" s="1"/>
  <c r="M23" i="3"/>
  <c r="Q27" i="1" l="1"/>
  <c r="U27" i="3"/>
  <c r="V23" i="3"/>
  <c r="D24" i="3"/>
  <c r="N23" i="3"/>
  <c r="E24" i="3" s="1"/>
  <c r="W27" i="3" l="1"/>
  <c r="P28" i="3"/>
  <c r="F24" i="3"/>
  <c r="G24" i="3" s="1"/>
  <c r="U24" i="1" s="1"/>
  <c r="Y24" i="3"/>
  <c r="Q28" i="3" l="1"/>
  <c r="AB28" i="3"/>
  <c r="H24" i="3"/>
  <c r="AA24" i="3" s="1"/>
  <c r="Z25" i="3" s="1"/>
  <c r="R28" i="3" l="1"/>
  <c r="R24" i="1"/>
  <c r="I24" i="3"/>
  <c r="T28" i="1" l="1"/>
  <c r="S28" i="3"/>
  <c r="T28" i="3" s="1"/>
  <c r="K24" i="3"/>
  <c r="S24" i="1"/>
  <c r="U28" i="3" l="1"/>
  <c r="Q28" i="1"/>
  <c r="AD28" i="3"/>
  <c r="AC29" i="3" s="1"/>
  <c r="P28" i="1"/>
  <c r="L24" i="3"/>
  <c r="O24" i="3" s="1"/>
  <c r="X24" i="3" s="1"/>
  <c r="M24" i="3"/>
  <c r="V24" i="3" s="1"/>
  <c r="P29" i="3" l="1"/>
  <c r="W28" i="3"/>
  <c r="N24" i="3"/>
  <c r="E25" i="3" s="1"/>
  <c r="D25" i="3"/>
  <c r="AB29" i="3" l="1"/>
  <c r="Q29" i="3"/>
  <c r="Y25" i="3"/>
  <c r="F25" i="3"/>
  <c r="G25" i="3" s="1"/>
  <c r="U25" i="1" s="1"/>
  <c r="R29" i="3" l="1"/>
  <c r="H25" i="3"/>
  <c r="AA25" i="3" s="1"/>
  <c r="Z26" i="3" s="1"/>
  <c r="T29" i="1" l="1"/>
  <c r="S29" i="3"/>
  <c r="R25" i="1"/>
  <c r="I25" i="3"/>
  <c r="T29" i="3" l="1"/>
  <c r="P29" i="1"/>
  <c r="AD29" i="3"/>
  <c r="AC30" i="3" s="1"/>
  <c r="K25" i="3"/>
  <c r="S25" i="1"/>
  <c r="Q29" i="1" l="1"/>
  <c r="U29" i="3"/>
  <c r="L25" i="3"/>
  <c r="O25" i="3" s="1"/>
  <c r="X25" i="3" s="1"/>
  <c r="M25" i="3"/>
  <c r="V25" i="3" s="1"/>
  <c r="P30" i="3" l="1"/>
  <c r="L8" i="1"/>
  <c r="W29" i="3"/>
  <c r="D26" i="3"/>
  <c r="N25" i="3"/>
  <c r="E26" i="3" s="1"/>
  <c r="Q30" i="3" l="1"/>
  <c r="AB30" i="3"/>
  <c r="Y26" i="3"/>
  <c r="F26" i="3"/>
  <c r="R30" i="3" l="1"/>
  <c r="G26" i="3"/>
  <c r="U26" i="1" l="1"/>
  <c r="H26" i="3"/>
  <c r="T30" i="1"/>
  <c r="S30" i="3"/>
  <c r="AA26" i="3" l="1"/>
  <c r="Z27" i="3" s="1"/>
  <c r="R26" i="1"/>
  <c r="I26" i="3"/>
  <c r="T30" i="3"/>
  <c r="P30" i="1"/>
  <c r="AD30" i="3"/>
  <c r="AC31" i="3" s="1"/>
  <c r="K26" i="3" l="1"/>
  <c r="S26" i="1"/>
  <c r="U30" i="3"/>
  <c r="Q30" i="1"/>
  <c r="L26" i="3" l="1"/>
  <c r="O26" i="3" s="1"/>
  <c r="X26" i="3" s="1"/>
  <c r="M26" i="3"/>
  <c r="P31" i="3"/>
  <c r="W30" i="3"/>
  <c r="D27" i="3" l="1"/>
  <c r="N26" i="3"/>
  <c r="E27" i="3" s="1"/>
  <c r="V26" i="3"/>
  <c r="Q31" i="3"/>
  <c r="AB31" i="3"/>
  <c r="Y27" i="3" l="1"/>
  <c r="F27" i="3"/>
  <c r="G27" i="3" s="1"/>
  <c r="R31" i="3"/>
  <c r="U27" i="1" l="1"/>
  <c r="H27" i="3"/>
  <c r="AA27" i="3" s="1"/>
  <c r="Z28" i="3" s="1"/>
  <c r="T31" i="1"/>
  <c r="S31" i="3"/>
  <c r="P31" i="1" s="1"/>
  <c r="R27" i="1" l="1"/>
  <c r="I27" i="3"/>
  <c r="AD31" i="3"/>
  <c r="AC32" i="3" s="1"/>
  <c r="T31" i="3"/>
  <c r="U31" i="3" l="1"/>
  <c r="Q31" i="1"/>
  <c r="S27" i="1"/>
  <c r="K27" i="3"/>
  <c r="P32" i="3" l="1"/>
  <c r="W31" i="3"/>
  <c r="M27" i="3"/>
  <c r="L27" i="3"/>
  <c r="O27" i="3" s="1"/>
  <c r="X27" i="3" s="1"/>
  <c r="Q32" i="3"/>
  <c r="AB32" i="3"/>
  <c r="D28" i="3" l="1"/>
  <c r="N27" i="3"/>
  <c r="E28" i="3" s="1"/>
  <c r="V27" i="3"/>
  <c r="R32" i="3"/>
  <c r="Y28" i="3" l="1"/>
  <c r="F28" i="3"/>
  <c r="G28" i="3" s="1"/>
  <c r="S32" i="3"/>
  <c r="T32" i="1"/>
  <c r="P32" i="1"/>
  <c r="T32" i="3"/>
  <c r="AD32" i="3"/>
  <c r="AC33" i="3" s="1"/>
  <c r="H28" i="3" l="1"/>
  <c r="I28" i="3" s="1"/>
  <c r="U28" i="1"/>
  <c r="Q32" i="1"/>
  <c r="U32" i="3"/>
  <c r="K28" i="3" l="1"/>
  <c r="S28" i="1"/>
  <c r="R28" i="1"/>
  <c r="AA28" i="3"/>
  <c r="Z29" i="3" s="1"/>
  <c r="P33" i="3"/>
  <c r="W32" i="3"/>
  <c r="L28" i="3" l="1"/>
  <c r="O28" i="3" s="1"/>
  <c r="X28" i="3" s="1"/>
  <c r="M28" i="3"/>
  <c r="Q33" i="3"/>
  <c r="AB33" i="3"/>
  <c r="V28" i="3" l="1"/>
  <c r="D29" i="3"/>
  <c r="N28" i="3"/>
  <c r="E29" i="3" s="1"/>
  <c r="R33" i="3"/>
  <c r="Y29" i="3"/>
  <c r="F29" i="3"/>
  <c r="G29" i="3" l="1"/>
  <c r="T33" i="1"/>
  <c r="S33" i="3"/>
  <c r="AD33" i="3" s="1"/>
  <c r="AC34" i="3" s="1"/>
  <c r="U29" i="1" l="1"/>
  <c r="H29" i="3"/>
  <c r="T33" i="3"/>
  <c r="P33" i="1"/>
  <c r="U33" i="3"/>
  <c r="Q33" i="1"/>
  <c r="AA29" i="3" l="1"/>
  <c r="Z30" i="3" s="1"/>
  <c r="R29" i="1"/>
  <c r="I29" i="3"/>
  <c r="P34" i="3"/>
  <c r="AB34" i="3" s="1"/>
  <c r="W33" i="3"/>
  <c r="K29" i="3"/>
  <c r="S29" i="1"/>
  <c r="Q34" i="3" l="1"/>
  <c r="R34" i="3" s="1"/>
  <c r="L29" i="3"/>
  <c r="O29" i="3" s="1"/>
  <c r="X29" i="3" s="1"/>
  <c r="M29" i="3"/>
  <c r="T34" i="1" l="1"/>
  <c r="S34" i="3"/>
  <c r="T34" i="3" s="1"/>
  <c r="M8" i="1"/>
  <c r="N29" i="3"/>
  <c r="E30" i="3" s="1"/>
  <c r="V29" i="3"/>
  <c r="D30" i="3"/>
  <c r="Q34" i="1" l="1"/>
  <c r="U34" i="3"/>
  <c r="P34" i="1"/>
  <c r="AD34" i="3"/>
  <c r="AC35" i="3" s="1"/>
  <c r="Y30" i="3"/>
  <c r="F30" i="3"/>
  <c r="G30" i="3" s="1"/>
  <c r="H30" i="3" s="1"/>
  <c r="P35" i="3" l="1"/>
  <c r="W34" i="3"/>
  <c r="I30" i="3"/>
  <c r="U30" i="1"/>
  <c r="AA30" i="3"/>
  <c r="Z31" i="3" s="1"/>
  <c r="R30" i="1"/>
  <c r="Q35" i="3" l="1"/>
  <c r="R35" i="3" s="1"/>
  <c r="T35" i="1" s="1"/>
  <c r="AB35" i="3"/>
  <c r="K30" i="3"/>
  <c r="S30" i="1"/>
  <c r="S35" i="3" l="1"/>
  <c r="AD35" i="3" s="1"/>
  <c r="AC36" i="3" s="1"/>
  <c r="L30" i="3"/>
  <c r="O30" i="3" s="1"/>
  <c r="X30" i="3" s="1"/>
  <c r="M30" i="3"/>
  <c r="V30" i="3" s="1"/>
  <c r="P35" i="1" l="1"/>
  <c r="T35" i="3"/>
  <c r="N30" i="3"/>
  <c r="E31" i="3" s="1"/>
  <c r="D31" i="3"/>
  <c r="Q35" i="1" l="1"/>
  <c r="U35" i="3"/>
  <c r="F31" i="3"/>
  <c r="Y31" i="3"/>
  <c r="P36" i="3" l="1"/>
  <c r="W35" i="3"/>
  <c r="G31" i="3"/>
  <c r="AB36" i="3" l="1"/>
  <c r="Q36" i="3"/>
  <c r="R36" i="3" s="1"/>
  <c r="T36" i="1" s="1"/>
  <c r="U31" i="1"/>
  <c r="H31" i="3"/>
  <c r="S36" i="3" l="1"/>
  <c r="AD36" i="3" s="1"/>
  <c r="AC37" i="3" s="1"/>
  <c r="AA31" i="3"/>
  <c r="Z32" i="3" s="1"/>
  <c r="R31" i="1"/>
  <c r="I31" i="3"/>
  <c r="P36" i="1" l="1"/>
  <c r="T36" i="3"/>
  <c r="K31" i="3"/>
  <c r="S31" i="1"/>
  <c r="U36" i="3" l="1"/>
  <c r="Q36" i="1"/>
  <c r="L31" i="3"/>
  <c r="O31" i="3" s="1"/>
  <c r="X31" i="3" s="1"/>
  <c r="M31" i="3"/>
  <c r="P37" i="3" l="1"/>
  <c r="W36" i="3"/>
  <c r="V31" i="3"/>
  <c r="N31" i="3"/>
  <c r="E32" i="3" s="1"/>
  <c r="D32" i="3"/>
  <c r="AB37" i="3" l="1"/>
  <c r="Q37" i="3"/>
  <c r="R37" i="3" s="1"/>
  <c r="F32" i="3"/>
  <c r="Y32" i="3"/>
  <c r="G32" i="3" l="1"/>
  <c r="T37" i="1"/>
  <c r="S37" i="3"/>
  <c r="T37" i="3" s="1"/>
  <c r="H32" i="3" l="1"/>
  <c r="AA32" i="3" s="1"/>
  <c r="Z33" i="3" s="1"/>
  <c r="U32" i="1"/>
  <c r="U37" i="3"/>
  <c r="Q37" i="1"/>
  <c r="AD37" i="3"/>
  <c r="AC38" i="3" s="1"/>
  <c r="P37" i="1"/>
  <c r="I32" i="3" l="1"/>
  <c r="R32" i="1"/>
  <c r="P38" i="3"/>
  <c r="W37" i="3"/>
  <c r="K32" i="3" l="1"/>
  <c r="S32" i="1"/>
  <c r="AB38" i="3"/>
  <c r="Q38" i="3"/>
  <c r="M32" i="3" l="1"/>
  <c r="L32" i="3"/>
  <c r="O32" i="3" s="1"/>
  <c r="X32" i="3" s="1"/>
  <c r="R38" i="3"/>
  <c r="S38" i="3" s="1"/>
  <c r="D33" i="3" l="1"/>
  <c r="V32" i="3"/>
  <c r="N32" i="3"/>
  <c r="E33" i="3" s="1"/>
  <c r="T38" i="3"/>
  <c r="T38" i="1"/>
  <c r="P38" i="1"/>
  <c r="AD38" i="3"/>
  <c r="AC39" i="3" s="1"/>
  <c r="Y33" i="3" l="1"/>
  <c r="F33" i="3"/>
  <c r="G33" i="3" s="1"/>
  <c r="U33" i="1" s="1"/>
  <c r="Q38" i="1"/>
  <c r="U38" i="3"/>
  <c r="H33" i="3" l="1"/>
  <c r="P39" i="3"/>
  <c r="W38" i="3"/>
  <c r="AA33" i="3" l="1"/>
  <c r="Z34" i="3" s="1"/>
  <c r="I33" i="3"/>
  <c r="R33" i="1"/>
  <c r="AB39" i="3"/>
  <c r="Q39" i="3"/>
  <c r="R39" i="3" s="1"/>
  <c r="K33" i="3" l="1"/>
  <c r="S33" i="1"/>
  <c r="S39" i="3"/>
  <c r="M33" i="3" l="1"/>
  <c r="L33" i="3"/>
  <c r="O33" i="3" s="1"/>
  <c r="X33" i="3" s="1"/>
  <c r="AD39" i="3"/>
  <c r="AC40" i="3" s="1"/>
  <c r="T39" i="3"/>
  <c r="U39" i="3" s="1"/>
  <c r="D34" i="3" l="1"/>
  <c r="N33" i="3"/>
  <c r="E34" i="3" s="1"/>
  <c r="V33" i="3"/>
  <c r="P40" i="3"/>
  <c r="W39" i="3"/>
  <c r="F34" i="3" l="1"/>
  <c r="Y34" i="3"/>
  <c r="Q40" i="3"/>
  <c r="AB40" i="3"/>
  <c r="G34" i="3" l="1"/>
  <c r="R40" i="3"/>
  <c r="S40" i="3" s="1"/>
  <c r="H34" i="3" l="1"/>
  <c r="U34" i="1"/>
  <c r="R34" i="1"/>
  <c r="AD40" i="3"/>
  <c r="AC41" i="3" s="1"/>
  <c r="T40" i="3"/>
  <c r="I34" i="3" l="1"/>
  <c r="AA34" i="3"/>
  <c r="Z35" i="3" s="1"/>
  <c r="U40" i="3"/>
  <c r="S34" i="1" l="1"/>
  <c r="K34" i="3"/>
  <c r="P41" i="3"/>
  <c r="W40" i="3"/>
  <c r="L34" i="3" l="1"/>
  <c r="O34" i="3" s="1"/>
  <c r="X34" i="3" s="1"/>
  <c r="M34" i="3"/>
  <c r="AB41" i="3"/>
  <c r="Q41" i="3"/>
  <c r="R41" i="3" s="1"/>
  <c r="V34" i="3" l="1"/>
  <c r="D35" i="3"/>
  <c r="N34" i="3"/>
  <c r="E35" i="3" s="1"/>
  <c r="S41" i="3"/>
  <c r="T39" i="1"/>
  <c r="Y35" i="3" l="1"/>
  <c r="F35" i="3"/>
  <c r="AD41" i="3"/>
  <c r="AC42" i="3" s="1"/>
  <c r="T41" i="3"/>
  <c r="P39" i="1"/>
  <c r="G35" i="3" l="1"/>
  <c r="Q39" i="1"/>
  <c r="U41" i="3"/>
  <c r="H35" i="3" l="1"/>
  <c r="U35" i="1"/>
  <c r="W41" i="3"/>
  <c r="P42" i="3"/>
  <c r="L9" i="1"/>
  <c r="I35" i="3" l="1"/>
  <c r="AA35" i="3"/>
  <c r="Z36" i="3" s="1"/>
  <c r="R35" i="1"/>
  <c r="Q42" i="3"/>
  <c r="AB42" i="3"/>
  <c r="R42" i="3" s="1"/>
  <c r="S35" i="1" l="1"/>
  <c r="K35" i="3"/>
  <c r="M35" i="3" s="1"/>
  <c r="T40" i="1"/>
  <c r="S42" i="3"/>
  <c r="P40" i="1" s="1"/>
  <c r="N35" i="3" l="1"/>
  <c r="E36" i="3" s="1"/>
  <c r="D36" i="3"/>
  <c r="V35" i="3"/>
  <c r="L35" i="3"/>
  <c r="O35" i="3" s="1"/>
  <c r="X35" i="3" s="1"/>
  <c r="T42" i="3"/>
  <c r="AD42" i="3"/>
  <c r="AC43" i="3" s="1"/>
  <c r="F36" i="3" l="1"/>
  <c r="G36" i="3" s="1"/>
  <c r="U36" i="1" s="1"/>
  <c r="Y36" i="3"/>
  <c r="U42" i="3"/>
  <c r="Q40" i="1"/>
  <c r="P43" i="3"/>
  <c r="AB43" i="3" s="1"/>
  <c r="W42" i="3"/>
  <c r="Q43" i="3"/>
  <c r="H36" i="3" l="1"/>
  <c r="R43" i="3"/>
  <c r="I36" i="3" l="1"/>
  <c r="R36" i="1"/>
  <c r="AA36" i="3"/>
  <c r="Z37" i="3" s="1"/>
  <c r="S43" i="3"/>
  <c r="T41" i="1"/>
  <c r="K36" i="3" l="1"/>
  <c r="S36" i="1"/>
  <c r="T43" i="3"/>
  <c r="P41" i="1"/>
  <c r="AD43" i="3"/>
  <c r="AC44" i="3" s="1"/>
  <c r="L36" i="3" l="1"/>
  <c r="O36" i="3" s="1"/>
  <c r="X36" i="3" s="1"/>
  <c r="M36" i="3"/>
  <c r="V36" i="3" s="1"/>
  <c r="U43" i="3"/>
  <c r="Q41" i="1"/>
  <c r="D37" i="3" l="1"/>
  <c r="N36" i="3"/>
  <c r="E37" i="3" s="1"/>
  <c r="W43" i="3"/>
  <c r="P44" i="3"/>
  <c r="F37" i="3" l="1"/>
  <c r="Y37" i="3"/>
  <c r="G37" i="3" s="1"/>
  <c r="AB44" i="3"/>
  <c r="Q44" i="3"/>
  <c r="R44" i="3" s="1"/>
  <c r="H37" i="3" l="1"/>
  <c r="I37" i="3" s="1"/>
  <c r="U37" i="1"/>
  <c r="S44" i="3"/>
  <c r="T44" i="3" s="1"/>
  <c r="T42" i="1"/>
  <c r="R37" i="1" l="1"/>
  <c r="AA37" i="3"/>
  <c r="Z38" i="3" s="1"/>
  <c r="K37" i="3"/>
  <c r="L37" i="3" s="1"/>
  <c r="O37" i="3" s="1"/>
  <c r="X37" i="3" s="1"/>
  <c r="S37" i="1"/>
  <c r="M37" i="3"/>
  <c r="AD44" i="3"/>
  <c r="AC45" i="3" s="1"/>
  <c r="P42" i="1"/>
  <c r="U44" i="3"/>
  <c r="Q42" i="1"/>
  <c r="V37" i="3" l="1"/>
  <c r="D38" i="3"/>
  <c r="N37" i="3"/>
  <c r="E38" i="3" s="1"/>
  <c r="W44" i="3"/>
  <c r="P45" i="3"/>
  <c r="F38" i="3" l="1"/>
  <c r="G38" i="3" s="1"/>
  <c r="U38" i="1" s="1"/>
  <c r="Y38" i="3"/>
  <c r="Q45" i="3"/>
  <c r="R45" i="3" s="1"/>
  <c r="T43" i="1" s="1"/>
  <c r="AB45" i="3"/>
  <c r="H38" i="3" l="1"/>
  <c r="S45" i="3"/>
  <c r="AA38" i="3" l="1"/>
  <c r="Z39" i="3" s="1"/>
  <c r="R38" i="1"/>
  <c r="I38" i="3"/>
  <c r="P43" i="1"/>
  <c r="AD45" i="3"/>
  <c r="AC46" i="3" s="1"/>
  <c r="T45" i="3"/>
  <c r="K38" i="3" l="1"/>
  <c r="M38" i="3" s="1"/>
  <c r="S38" i="1"/>
  <c r="U45" i="3"/>
  <c r="Q43" i="1"/>
  <c r="N38" i="3" l="1"/>
  <c r="E39" i="3" s="1"/>
  <c r="D39" i="3"/>
  <c r="V38" i="3"/>
  <c r="L38" i="3"/>
  <c r="O38" i="3" s="1"/>
  <c r="X38" i="3" s="1"/>
  <c r="P46" i="3"/>
  <c r="W45" i="3"/>
  <c r="F39" i="3" l="1"/>
  <c r="G39" i="3" s="1"/>
  <c r="Y39" i="3"/>
  <c r="AB46" i="3"/>
  <c r="Q46" i="3"/>
  <c r="H39" i="3" l="1"/>
  <c r="R46" i="3"/>
  <c r="AA39" i="3" l="1"/>
  <c r="Z40" i="3" s="1"/>
  <c r="I39" i="3"/>
  <c r="T44" i="1"/>
  <c r="S46" i="3"/>
  <c r="K39" i="3" l="1"/>
  <c r="M39" i="3" s="1"/>
  <c r="T46" i="3"/>
  <c r="P44" i="1"/>
  <c r="AD46" i="3"/>
  <c r="AC47" i="3" s="1"/>
  <c r="D40" i="3" l="1"/>
  <c r="N39" i="3"/>
  <c r="E40" i="3" s="1"/>
  <c r="V39" i="3"/>
  <c r="L39" i="3"/>
  <c r="O39" i="3" s="1"/>
  <c r="X39" i="3" s="1"/>
  <c r="Q44" i="1"/>
  <c r="U46" i="3"/>
  <c r="Y40" i="3" l="1"/>
  <c r="F40" i="3"/>
  <c r="P47" i="3"/>
  <c r="W46" i="3"/>
  <c r="G40" i="3" l="1"/>
  <c r="Q47" i="3"/>
  <c r="AB47" i="3"/>
  <c r="R47" i="3" l="1"/>
  <c r="H40" i="3"/>
  <c r="T45" i="1" l="1"/>
  <c r="S47" i="3"/>
  <c r="AA40" i="3"/>
  <c r="Z41" i="3" s="1"/>
  <c r="I40" i="3"/>
  <c r="AD47" i="3" l="1"/>
  <c r="AC48" i="3" s="1"/>
  <c r="P45" i="1"/>
  <c r="T47" i="3"/>
  <c r="K40" i="3"/>
  <c r="U47" i="3"/>
  <c r="Q45" i="1"/>
  <c r="L40" i="3" l="1"/>
  <c r="O40" i="3" s="1"/>
  <c r="X40" i="3" s="1"/>
  <c r="M40" i="3"/>
  <c r="P48" i="3"/>
  <c r="W47" i="3"/>
  <c r="V40" i="3" l="1"/>
  <c r="N40" i="3"/>
  <c r="E41" i="3" s="1"/>
  <c r="D41" i="3"/>
  <c r="AB48" i="3"/>
  <c r="Q48" i="3"/>
  <c r="R48" i="3" s="1"/>
  <c r="Y41" i="3" l="1"/>
  <c r="F41" i="3"/>
  <c r="T46" i="1"/>
  <c r="S48" i="3"/>
  <c r="G41" i="3" l="1"/>
  <c r="P46" i="1"/>
  <c r="T48" i="3"/>
  <c r="AD48" i="3"/>
  <c r="AC49" i="3" s="1"/>
  <c r="U39" i="1" l="1"/>
  <c r="H41" i="3"/>
  <c r="Q46" i="1"/>
  <c r="U48" i="3"/>
  <c r="I41" i="3" l="1"/>
  <c r="R39" i="1"/>
  <c r="AA41" i="3"/>
  <c r="Z42" i="3" s="1"/>
  <c r="P49" i="3"/>
  <c r="W48" i="3"/>
  <c r="AB49" i="3" l="1"/>
  <c r="Q49" i="3"/>
  <c r="R49" i="3" s="1"/>
  <c r="K41" i="3"/>
  <c r="S39" i="1"/>
  <c r="L41" i="3" l="1"/>
  <c r="O41" i="3" s="1"/>
  <c r="X41" i="3" s="1"/>
  <c r="M41" i="3"/>
  <c r="T47" i="1"/>
  <c r="S49" i="3"/>
  <c r="V41" i="3" l="1"/>
  <c r="N41" i="3"/>
  <c r="E42" i="3" s="1"/>
  <c r="M9" i="1"/>
  <c r="D42" i="3"/>
  <c r="T49" i="3"/>
  <c r="P47" i="1"/>
  <c r="AD49" i="3"/>
  <c r="AC50" i="3" s="1"/>
  <c r="F42" i="3" l="1"/>
  <c r="Y42" i="3"/>
  <c r="U49" i="3"/>
  <c r="Q47" i="1"/>
  <c r="G42" i="3" l="1"/>
  <c r="P50" i="3"/>
  <c r="W49" i="3"/>
  <c r="H42" i="3" l="1"/>
  <c r="U40" i="1"/>
  <c r="AB50" i="3"/>
  <c r="Q50" i="3"/>
  <c r="I42" i="3" l="1"/>
  <c r="AA42" i="3"/>
  <c r="Z43" i="3" s="1"/>
  <c r="R40" i="1"/>
  <c r="R50" i="3"/>
  <c r="S40" i="1" l="1"/>
  <c r="K42" i="3"/>
  <c r="M42" i="3" s="1"/>
  <c r="S50" i="3"/>
  <c r="T48" i="1"/>
  <c r="V42" i="3" l="1"/>
  <c r="L42" i="3"/>
  <c r="O42" i="3" s="1"/>
  <c r="X42" i="3" s="1"/>
  <c r="N42" i="3"/>
  <c r="E43" i="3" s="1"/>
  <c r="D43" i="3"/>
  <c r="T50" i="3"/>
  <c r="P48" i="1"/>
  <c r="AD50" i="3"/>
  <c r="AC51" i="3" s="1"/>
  <c r="F43" i="3" l="1"/>
  <c r="Y43" i="3"/>
  <c r="U50" i="3"/>
  <c r="Q48" i="1"/>
  <c r="G43" i="3" l="1"/>
  <c r="W50" i="3"/>
  <c r="P51" i="3"/>
  <c r="Q51" i="3"/>
  <c r="AB51" i="3"/>
  <c r="U41" i="1" l="1"/>
  <c r="H43" i="3"/>
  <c r="R51" i="3"/>
  <c r="I43" i="3" l="1"/>
  <c r="R41" i="1"/>
  <c r="AA43" i="3"/>
  <c r="Z44" i="3" s="1"/>
  <c r="S51" i="3"/>
  <c r="T49" i="1"/>
  <c r="T51" i="3"/>
  <c r="K43" i="3" l="1"/>
  <c r="S41" i="1"/>
  <c r="AD51" i="3"/>
  <c r="AC52" i="3" s="1"/>
  <c r="P49" i="1"/>
  <c r="Q49" i="1"/>
  <c r="U51" i="3"/>
  <c r="M43" i="3" l="1"/>
  <c r="L43" i="3"/>
  <c r="O43" i="3" s="1"/>
  <c r="X43" i="3" s="1"/>
  <c r="P52" i="3"/>
  <c r="W51" i="3"/>
  <c r="D44" i="3" l="1"/>
  <c r="N43" i="3"/>
  <c r="E44" i="3" s="1"/>
  <c r="V43" i="3"/>
  <c r="Q52" i="3"/>
  <c r="R52" i="3" s="1"/>
  <c r="AB52" i="3"/>
  <c r="Y44" i="3" l="1"/>
  <c r="F44" i="3"/>
  <c r="T50" i="1"/>
  <c r="S52" i="3"/>
  <c r="P50" i="1" s="1"/>
  <c r="G44" i="3" l="1"/>
  <c r="AD52" i="3"/>
  <c r="AC53" i="3" s="1"/>
  <c r="T52" i="3"/>
  <c r="U52" i="3"/>
  <c r="Q50" i="1"/>
  <c r="U42" i="1" l="1"/>
  <c r="H44" i="3"/>
  <c r="P53" i="3"/>
  <c r="W52" i="3"/>
  <c r="I44" i="3" l="1"/>
  <c r="AA44" i="3"/>
  <c r="Z45" i="3" s="1"/>
  <c r="R42" i="1"/>
  <c r="Q53" i="3"/>
  <c r="AB53" i="3"/>
  <c r="K44" i="3" l="1"/>
  <c r="S42" i="1"/>
  <c r="R53" i="3"/>
  <c r="L44" i="3" l="1"/>
  <c r="O44" i="3" s="1"/>
  <c r="X44" i="3" s="1"/>
  <c r="M44" i="3"/>
  <c r="T51" i="1"/>
  <c r="S53" i="3"/>
  <c r="P51" i="1" s="1"/>
  <c r="V44" i="3" l="1"/>
  <c r="D45" i="3"/>
  <c r="N44" i="3"/>
  <c r="E45" i="3" s="1"/>
  <c r="AD53" i="3"/>
  <c r="AC54" i="3" s="1"/>
  <c r="T53" i="3"/>
  <c r="U53" i="3" s="1"/>
  <c r="W53" i="3" s="1"/>
  <c r="Q51" i="1"/>
  <c r="F45" i="3" l="1"/>
  <c r="Y45" i="3"/>
  <c r="L10" i="1"/>
  <c r="P54" i="3"/>
  <c r="G45" i="3" l="1"/>
  <c r="AB54" i="3"/>
  <c r="Q54" i="3"/>
  <c r="R54" i="3" s="1"/>
  <c r="H45" i="3" l="1"/>
  <c r="U43" i="1"/>
  <c r="T52" i="1"/>
  <c r="S54" i="3"/>
  <c r="T54" i="3" s="1"/>
  <c r="AA45" i="3" l="1"/>
  <c r="Z46" i="3" s="1"/>
  <c r="R43" i="1"/>
  <c r="I45" i="3"/>
  <c r="U54" i="3"/>
  <c r="Q52" i="1"/>
  <c r="AD54" i="3"/>
  <c r="AC55" i="3" s="1"/>
  <c r="P52" i="1"/>
  <c r="S43" i="1" l="1"/>
  <c r="K45" i="3"/>
  <c r="P55" i="3"/>
  <c r="W54" i="3"/>
  <c r="AB55" i="3"/>
  <c r="Q55" i="3"/>
  <c r="R55" i="3" s="1"/>
  <c r="L45" i="3" l="1"/>
  <c r="O45" i="3" s="1"/>
  <c r="X45" i="3" s="1"/>
  <c r="M45" i="3"/>
  <c r="V45" i="3" s="1"/>
  <c r="S55" i="3"/>
  <c r="T55" i="3" s="1"/>
  <c r="T53" i="1"/>
  <c r="N45" i="3" l="1"/>
  <c r="E46" i="3" s="1"/>
  <c r="D46" i="3"/>
  <c r="P53" i="1"/>
  <c r="AD55" i="3"/>
  <c r="AC56" i="3" s="1"/>
  <c r="U55" i="3"/>
  <c r="Q53" i="1"/>
  <c r="F46" i="3" l="1"/>
  <c r="Y46" i="3"/>
  <c r="P56" i="3"/>
  <c r="W55" i="3"/>
  <c r="G46" i="3" l="1"/>
  <c r="U44" i="1"/>
  <c r="H46" i="3"/>
  <c r="I46" i="3" s="1"/>
  <c r="Q56" i="3"/>
  <c r="AB56" i="3"/>
  <c r="S44" i="1" l="1"/>
  <c r="K46" i="3"/>
  <c r="AA46" i="3"/>
  <c r="Z47" i="3" s="1"/>
  <c r="R44" i="1"/>
  <c r="R56" i="3"/>
  <c r="M46" i="3" l="1"/>
  <c r="L46" i="3"/>
  <c r="O46" i="3" s="1"/>
  <c r="X46" i="3" s="1"/>
  <c r="S56" i="3"/>
  <c r="T54" i="1"/>
  <c r="D47" i="3" l="1"/>
  <c r="N46" i="3"/>
  <c r="E47" i="3" s="1"/>
  <c r="V46" i="3"/>
  <c r="P54" i="1"/>
  <c r="AD56" i="3"/>
  <c r="AC57" i="3" s="1"/>
  <c r="T56" i="3"/>
  <c r="Q54" i="1"/>
  <c r="U56" i="3"/>
  <c r="F47" i="3" l="1"/>
  <c r="Y47" i="3"/>
  <c r="P57" i="3"/>
  <c r="W56" i="3"/>
  <c r="G47" i="3" l="1"/>
  <c r="Q57" i="3"/>
  <c r="AB57" i="3"/>
  <c r="U45" i="1" l="1"/>
  <c r="H47" i="3"/>
  <c r="R57" i="3"/>
  <c r="I47" i="3" l="1"/>
  <c r="AA47" i="3"/>
  <c r="Z48" i="3" s="1"/>
  <c r="R45" i="1"/>
  <c r="T55" i="1"/>
  <c r="S57" i="3"/>
  <c r="K47" i="3" l="1"/>
  <c r="S45" i="1"/>
  <c r="T57" i="3"/>
  <c r="P55" i="1"/>
  <c r="AD57" i="3"/>
  <c r="AC58" i="3" s="1"/>
  <c r="U57" i="3" l="1"/>
  <c r="Q55" i="1"/>
  <c r="L47" i="3"/>
  <c r="O47" i="3" s="1"/>
  <c r="X47" i="3" s="1"/>
  <c r="M47" i="3"/>
  <c r="V47" i="3" s="1"/>
  <c r="P58" i="3"/>
  <c r="W57" i="3"/>
  <c r="D48" i="3" l="1"/>
  <c r="N47" i="3"/>
  <c r="E48" i="3" s="1"/>
  <c r="AB58" i="3"/>
  <c r="Q58" i="3"/>
  <c r="F48" i="3" l="1"/>
  <c r="G48" i="3" s="1"/>
  <c r="Y48" i="3"/>
  <c r="R58" i="3"/>
  <c r="U46" i="1" l="1"/>
  <c r="H48" i="3"/>
  <c r="I48" i="3" s="1"/>
  <c r="T56" i="1"/>
  <c r="S58" i="3"/>
  <c r="K48" i="3" l="1"/>
  <c r="S46" i="1"/>
  <c r="R46" i="1"/>
  <c r="AA48" i="3"/>
  <c r="Z49" i="3" s="1"/>
  <c r="T58" i="3"/>
  <c r="P56" i="1"/>
  <c r="AD58" i="3"/>
  <c r="AC59" i="3" s="1"/>
  <c r="M48" i="3" l="1"/>
  <c r="L48" i="3"/>
  <c r="O48" i="3" s="1"/>
  <c r="X48" i="3" s="1"/>
  <c r="U58" i="3"/>
  <c r="Q56" i="1"/>
  <c r="V48" i="3" l="1"/>
  <c r="N48" i="3"/>
  <c r="E49" i="3" s="1"/>
  <c r="D49" i="3"/>
  <c r="P59" i="3"/>
  <c r="W58" i="3"/>
  <c r="F49" i="3" l="1"/>
  <c r="Y49" i="3"/>
  <c r="Q59" i="3"/>
  <c r="AB59" i="3"/>
  <c r="G49" i="3" l="1"/>
  <c r="R59" i="3"/>
  <c r="U47" i="1" l="1"/>
  <c r="H49" i="3"/>
  <c r="T57" i="1"/>
  <c r="S59" i="3"/>
  <c r="AA49" i="3" l="1"/>
  <c r="Z50" i="3" s="1"/>
  <c r="I49" i="3"/>
  <c r="R47" i="1"/>
  <c r="T59" i="3"/>
  <c r="P57" i="1"/>
  <c r="AD59" i="3"/>
  <c r="AC60" i="3" s="1"/>
  <c r="K49" i="3" l="1"/>
  <c r="S47" i="1"/>
  <c r="U59" i="3"/>
  <c r="Q57" i="1"/>
  <c r="M49" i="3" l="1"/>
  <c r="L49" i="3"/>
  <c r="O49" i="3" s="1"/>
  <c r="X49" i="3" s="1"/>
  <c r="P60" i="3"/>
  <c r="W59" i="3"/>
  <c r="AB60" i="3"/>
  <c r="Q60" i="3"/>
  <c r="R60" i="3" s="1"/>
  <c r="T58" i="1" s="1"/>
  <c r="V49" i="3" l="1"/>
  <c r="D50" i="3"/>
  <c r="N49" i="3"/>
  <c r="E50" i="3" s="1"/>
  <c r="S60" i="3"/>
  <c r="AD60" i="3" s="1"/>
  <c r="AC61" i="3" s="1"/>
  <c r="Y50" i="3" l="1"/>
  <c r="F50" i="3"/>
  <c r="P58" i="1"/>
  <c r="T60" i="3"/>
  <c r="G50" i="3" l="1"/>
  <c r="U60" i="3"/>
  <c r="Q58" i="1"/>
  <c r="U48" i="1" l="1"/>
  <c r="H50" i="3"/>
  <c r="P61" i="3"/>
  <c r="W60" i="3"/>
  <c r="I50" i="3" l="1"/>
  <c r="R48" i="1"/>
  <c r="AA50" i="3"/>
  <c r="Z51" i="3" s="1"/>
  <c r="AB61" i="3"/>
  <c r="Q61" i="3"/>
  <c r="K50" i="3" l="1"/>
  <c r="S48" i="1"/>
  <c r="R61" i="3"/>
  <c r="L50" i="3" l="1"/>
  <c r="O50" i="3" s="1"/>
  <c r="X50" i="3" s="1"/>
  <c r="M50" i="3"/>
  <c r="V50" i="3" s="1"/>
  <c r="T59" i="1"/>
  <c r="S61" i="3"/>
  <c r="N50" i="3" l="1"/>
  <c r="E51" i="3" s="1"/>
  <c r="D51" i="3"/>
  <c r="T61" i="3"/>
  <c r="U61" i="3" s="1"/>
  <c r="P59" i="1"/>
  <c r="AD61" i="3"/>
  <c r="AC62" i="3" s="1"/>
  <c r="Q59" i="1"/>
  <c r="F51" i="3" l="1"/>
  <c r="Y51" i="3"/>
  <c r="G51" i="3" s="1"/>
  <c r="P62" i="3"/>
  <c r="W61" i="3"/>
  <c r="H51" i="3" l="1"/>
  <c r="I51" i="3" s="1"/>
  <c r="U49" i="1"/>
  <c r="AB62" i="3"/>
  <c r="Q62" i="3"/>
  <c r="R49" i="1" l="1"/>
  <c r="AA51" i="3"/>
  <c r="Z52" i="3" s="1"/>
  <c r="S49" i="1"/>
  <c r="K51" i="3"/>
  <c r="R62" i="3"/>
  <c r="M51" i="3" l="1"/>
  <c r="V51" i="3"/>
  <c r="L51" i="3"/>
  <c r="O51" i="3" s="1"/>
  <c r="X51" i="3" s="1"/>
  <c r="S62" i="3"/>
  <c r="T62" i="3" s="1"/>
  <c r="U62" i="3" s="1"/>
  <c r="T60" i="1"/>
  <c r="Q60" i="1"/>
  <c r="AD62" i="3"/>
  <c r="AC63" i="3" s="1"/>
  <c r="P60" i="1"/>
  <c r="D52" i="3" l="1"/>
  <c r="N51" i="3"/>
  <c r="E52" i="3" s="1"/>
  <c r="P63" i="3"/>
  <c r="W62" i="3"/>
  <c r="Y52" i="3" l="1"/>
  <c r="F52" i="3"/>
  <c r="G52" i="3" s="1"/>
  <c r="Q63" i="3"/>
  <c r="AB63" i="3"/>
  <c r="H52" i="3" l="1"/>
  <c r="U50" i="1"/>
  <c r="I52" i="3"/>
  <c r="K52" i="3"/>
  <c r="S50" i="1"/>
  <c r="R63" i="3"/>
  <c r="AA52" i="3" l="1"/>
  <c r="Z53" i="3" s="1"/>
  <c r="R50" i="1"/>
  <c r="L52" i="3"/>
  <c r="O52" i="3" s="1"/>
  <c r="X52" i="3" s="1"/>
  <c r="M52" i="3"/>
  <c r="V52" i="3" s="1"/>
  <c r="S63" i="3"/>
  <c r="P61" i="1" s="1"/>
  <c r="T61" i="1"/>
  <c r="AD63" i="3" l="1"/>
  <c r="AC64" i="3" s="1"/>
  <c r="T63" i="3"/>
  <c r="U63" i="3" s="1"/>
  <c r="D53" i="3"/>
  <c r="N52" i="3"/>
  <c r="E53" i="3" s="1"/>
  <c r="Q61" i="1"/>
  <c r="F53" i="3" l="1"/>
  <c r="G53" i="3" s="1"/>
  <c r="Y53" i="3"/>
  <c r="P64" i="3"/>
  <c r="W63" i="3"/>
  <c r="U51" i="1" l="1"/>
  <c r="H53" i="3"/>
  <c r="I53" i="3" s="1"/>
  <c r="Q64" i="3"/>
  <c r="AB64" i="3"/>
  <c r="K53" i="3" l="1"/>
  <c r="S51" i="1"/>
  <c r="AA53" i="3"/>
  <c r="Z54" i="3" s="1"/>
  <c r="R51" i="1"/>
  <c r="R64" i="3"/>
  <c r="L53" i="3" l="1"/>
  <c r="O53" i="3" s="1"/>
  <c r="X53" i="3" s="1"/>
  <c r="M53" i="3"/>
  <c r="V53" i="3" s="1"/>
  <c r="T62" i="1"/>
  <c r="S64" i="3"/>
  <c r="M10" i="1" l="1"/>
  <c r="D54" i="3"/>
  <c r="N53" i="3"/>
  <c r="E54" i="3" s="1"/>
  <c r="T64" i="3"/>
  <c r="AD64" i="3"/>
  <c r="AC65" i="3" s="1"/>
  <c r="P62" i="1"/>
  <c r="F54" i="3" l="1"/>
  <c r="Y54" i="3"/>
  <c r="Q62" i="1"/>
  <c r="U64" i="3"/>
  <c r="G54" i="3" l="1"/>
  <c r="W64" i="3"/>
  <c r="P65" i="3"/>
  <c r="AB65" i="3"/>
  <c r="Q65" i="3"/>
  <c r="R65" i="3" s="1"/>
  <c r="T63" i="1" s="1"/>
  <c r="H54" i="3" l="1"/>
  <c r="U52" i="1"/>
  <c r="S65" i="3"/>
  <c r="AD65" i="3" s="1"/>
  <c r="AC66" i="3" s="1"/>
  <c r="I54" i="3" l="1"/>
  <c r="AA54" i="3"/>
  <c r="Z55" i="3" s="1"/>
  <c r="R52" i="1"/>
  <c r="K54" i="3"/>
  <c r="S52" i="1"/>
  <c r="P63" i="1"/>
  <c r="T65" i="3"/>
  <c r="M54" i="3" l="1"/>
  <c r="V54" i="3"/>
  <c r="L54" i="3"/>
  <c r="O54" i="3" s="1"/>
  <c r="X54" i="3" s="1"/>
  <c r="U65" i="3"/>
  <c r="W65" i="3" s="1"/>
  <c r="Q63" i="1"/>
  <c r="N54" i="3" l="1"/>
  <c r="E55" i="3" s="1"/>
  <c r="D55" i="3"/>
  <c r="L11" i="1"/>
  <c r="P66" i="3"/>
  <c r="F55" i="3" l="1"/>
  <c r="Y55" i="3"/>
  <c r="Q66" i="3"/>
  <c r="AB66" i="3"/>
  <c r="G55" i="3" l="1"/>
  <c r="R66" i="3"/>
  <c r="U53" i="1" l="1"/>
  <c r="H55" i="3"/>
  <c r="T64" i="1"/>
  <c r="S66" i="3"/>
  <c r="R53" i="1" l="1"/>
  <c r="AA55" i="3"/>
  <c r="Z56" i="3" s="1"/>
  <c r="I55" i="3"/>
  <c r="T66" i="3"/>
  <c r="P64" i="1"/>
  <c r="AD66" i="3"/>
  <c r="AC67" i="3" s="1"/>
  <c r="S53" i="1" l="1"/>
  <c r="K55" i="3"/>
  <c r="M55" i="3" s="1"/>
  <c r="U66" i="3"/>
  <c r="Q64" i="1"/>
  <c r="D56" i="3" l="1"/>
  <c r="N55" i="3"/>
  <c r="E56" i="3" s="1"/>
  <c r="V55" i="3"/>
  <c r="L55" i="3"/>
  <c r="O55" i="3" s="1"/>
  <c r="X55" i="3" s="1"/>
  <c r="P67" i="3"/>
  <c r="W66" i="3"/>
  <c r="F56" i="3" l="1"/>
  <c r="G56" i="3" s="1"/>
  <c r="Y56" i="3"/>
  <c r="AB67" i="3"/>
  <c r="Q67" i="3"/>
  <c r="H56" i="3" l="1"/>
  <c r="I56" i="3" s="1"/>
  <c r="U54" i="1"/>
  <c r="R67" i="3"/>
  <c r="R54" i="1" l="1"/>
  <c r="AA56" i="3"/>
  <c r="Z57" i="3" s="1"/>
  <c r="K56" i="3"/>
  <c r="S54" i="1"/>
  <c r="T65" i="1"/>
  <c r="S67" i="3"/>
  <c r="M56" i="3" l="1"/>
  <c r="V56" i="3"/>
  <c r="L56" i="3"/>
  <c r="O56" i="3" s="1"/>
  <c r="X56" i="3" s="1"/>
  <c r="AD67" i="3"/>
  <c r="AC68" i="3" s="1"/>
  <c r="T67" i="3"/>
  <c r="U67" i="3" s="1"/>
  <c r="P65" i="1"/>
  <c r="Q65" i="1"/>
  <c r="N56" i="3" l="1"/>
  <c r="E57" i="3" s="1"/>
  <c r="D57" i="3"/>
  <c r="P68" i="3"/>
  <c r="W67" i="3"/>
  <c r="AB68" i="3"/>
  <c r="Q68" i="3"/>
  <c r="R68" i="3" s="1"/>
  <c r="F57" i="3" l="1"/>
  <c r="Y57" i="3"/>
  <c r="S68" i="3"/>
  <c r="T66" i="1"/>
  <c r="G57" i="3" l="1"/>
  <c r="P66" i="1"/>
  <c r="AD68" i="3"/>
  <c r="AC69" i="3" s="1"/>
  <c r="T68" i="3"/>
  <c r="H57" i="3" l="1"/>
  <c r="U55" i="1"/>
  <c r="Q66" i="1"/>
  <c r="U68" i="3"/>
  <c r="AA57" i="3" l="1"/>
  <c r="Z58" i="3" s="1"/>
  <c r="R55" i="1"/>
  <c r="I57" i="3"/>
  <c r="P69" i="3"/>
  <c r="AB69" i="3" s="1"/>
  <c r="W68" i="3"/>
  <c r="Q69" i="3"/>
  <c r="K57" i="3" l="1"/>
  <c r="S55" i="1"/>
  <c r="R69" i="3"/>
  <c r="M57" i="3" l="1"/>
  <c r="L57" i="3"/>
  <c r="O57" i="3" s="1"/>
  <c r="X57" i="3" s="1"/>
  <c r="T67" i="1"/>
  <c r="S69" i="3"/>
  <c r="V57" i="3" l="1"/>
  <c r="D58" i="3"/>
  <c r="N57" i="3"/>
  <c r="E58" i="3" s="1"/>
  <c r="AD69" i="3"/>
  <c r="AC70" i="3" s="1"/>
  <c r="P67" i="1"/>
  <c r="T69" i="3"/>
  <c r="U69" i="3" s="1"/>
  <c r="Q67" i="1"/>
  <c r="F58" i="3" l="1"/>
  <c r="Y58" i="3"/>
  <c r="W69" i="3"/>
  <c r="P70" i="3"/>
  <c r="Q70" i="3"/>
  <c r="AB70" i="3"/>
  <c r="G58" i="3" l="1"/>
  <c r="R70" i="3"/>
  <c r="H58" i="3" l="1"/>
  <c r="U56" i="1"/>
  <c r="T68" i="1"/>
  <c r="S70" i="3"/>
  <c r="P68" i="1" s="1"/>
  <c r="R56" i="1" l="1"/>
  <c r="I58" i="3"/>
  <c r="AA58" i="3"/>
  <c r="Z59" i="3" s="1"/>
  <c r="T70" i="3"/>
  <c r="AD70" i="3"/>
  <c r="AC71" i="3" s="1"/>
  <c r="Q68" i="1"/>
  <c r="U70" i="3"/>
  <c r="S56" i="1" l="1"/>
  <c r="K58" i="3"/>
  <c r="P71" i="3"/>
  <c r="W70" i="3"/>
  <c r="L58" i="3" l="1"/>
  <c r="O58" i="3" s="1"/>
  <c r="X58" i="3" s="1"/>
  <c r="M58" i="3"/>
  <c r="AB71" i="3"/>
  <c r="Q71" i="3"/>
  <c r="R71" i="3" s="1"/>
  <c r="V58" i="3" l="1"/>
  <c r="D59" i="3"/>
  <c r="N58" i="3"/>
  <c r="E59" i="3" s="1"/>
  <c r="T69" i="1"/>
  <c r="S71" i="3"/>
  <c r="F59" i="3" l="1"/>
  <c r="Y59" i="3"/>
  <c r="P69" i="1"/>
  <c r="T71" i="3"/>
  <c r="AD71" i="3"/>
  <c r="AC72" i="3" s="1"/>
  <c r="G59" i="3" l="1"/>
  <c r="Q69" i="1"/>
  <c r="U71" i="3"/>
  <c r="H59" i="3" l="1"/>
  <c r="U57" i="1"/>
  <c r="P72" i="3"/>
  <c r="W71" i="3"/>
  <c r="I59" i="3" l="1"/>
  <c r="R57" i="1"/>
  <c r="AA59" i="3"/>
  <c r="Z60" i="3" s="1"/>
  <c r="Q72" i="3"/>
  <c r="AB72" i="3"/>
  <c r="S57" i="1" l="1"/>
  <c r="K59" i="3"/>
  <c r="R72" i="3"/>
  <c r="M59" i="3" l="1"/>
  <c r="L59" i="3"/>
  <c r="O59" i="3" s="1"/>
  <c r="X59" i="3" s="1"/>
  <c r="S72" i="3"/>
  <c r="P70" i="1" s="1"/>
  <c r="T70" i="1"/>
  <c r="V59" i="3" l="1"/>
  <c r="D60" i="3"/>
  <c r="N59" i="3"/>
  <c r="E60" i="3" s="1"/>
  <c r="T72" i="3"/>
  <c r="AD72" i="3"/>
  <c r="AC73" i="3" s="1"/>
  <c r="F60" i="3" l="1"/>
  <c r="Y60" i="3"/>
  <c r="U72" i="3"/>
  <c r="Q70" i="1"/>
  <c r="P73" i="3"/>
  <c r="W72" i="3"/>
  <c r="G60" i="3" l="1"/>
  <c r="AB73" i="3"/>
  <c r="Q73" i="3"/>
  <c r="R73" i="3" s="1"/>
  <c r="U58" i="1" l="1"/>
  <c r="H60" i="3"/>
  <c r="I60" i="3" s="1"/>
  <c r="T71" i="1"/>
  <c r="S73" i="3"/>
  <c r="S58" i="1" l="1"/>
  <c r="K60" i="3"/>
  <c r="AA60" i="3"/>
  <c r="Z61" i="3" s="1"/>
  <c r="R58" i="1"/>
  <c r="P71" i="1"/>
  <c r="T73" i="3"/>
  <c r="AD73" i="3"/>
  <c r="AC74" i="3" s="1"/>
  <c r="M60" i="3" l="1"/>
  <c r="L60" i="3"/>
  <c r="O60" i="3" s="1"/>
  <c r="X60" i="3" s="1"/>
  <c r="Q71" i="1"/>
  <c r="U73" i="3"/>
  <c r="N60" i="3" l="1"/>
  <c r="E61" i="3" s="1"/>
  <c r="D61" i="3"/>
  <c r="V60" i="3"/>
  <c r="P74" i="3"/>
  <c r="W73" i="3"/>
  <c r="Y61" i="3" l="1"/>
  <c r="F61" i="3"/>
  <c r="Q74" i="3"/>
  <c r="AB74" i="3"/>
  <c r="G61" i="3" l="1"/>
  <c r="R74" i="3"/>
  <c r="H61" i="3" l="1"/>
  <c r="U59" i="1"/>
  <c r="T72" i="1"/>
  <c r="S74" i="3"/>
  <c r="R59" i="1" l="1"/>
  <c r="AA61" i="3"/>
  <c r="Z62" i="3" s="1"/>
  <c r="I61" i="3"/>
  <c r="T74" i="3"/>
  <c r="AD74" i="3"/>
  <c r="AC75" i="3" s="1"/>
  <c r="P72" i="1"/>
  <c r="S59" i="1" l="1"/>
  <c r="K61" i="3"/>
  <c r="Q72" i="1"/>
  <c r="U74" i="3"/>
  <c r="L61" i="3" l="1"/>
  <c r="O61" i="3" s="1"/>
  <c r="X61" i="3" s="1"/>
  <c r="M61" i="3"/>
  <c r="V61" i="3" s="1"/>
  <c r="W74" i="3"/>
  <c r="P75" i="3"/>
  <c r="D62" i="3" l="1"/>
  <c r="N61" i="3"/>
  <c r="E62" i="3" s="1"/>
  <c r="AB75" i="3"/>
  <c r="Q75" i="3"/>
  <c r="Y62" i="3" l="1"/>
  <c r="G62" i="3" s="1"/>
  <c r="F62" i="3"/>
  <c r="R75" i="3"/>
  <c r="S75" i="3" s="1"/>
  <c r="U60" i="1" l="1"/>
  <c r="H62" i="3"/>
  <c r="I62" i="3" s="1"/>
  <c r="AD75" i="3"/>
  <c r="AC76" i="3" s="1"/>
  <c r="P73" i="1"/>
  <c r="T75" i="3"/>
  <c r="T73" i="1"/>
  <c r="K62" i="3" l="1"/>
  <c r="L62" i="3" s="1"/>
  <c r="O62" i="3" s="1"/>
  <c r="X62" i="3" s="1"/>
  <c r="M62" i="3"/>
  <c r="V62" i="3" s="1"/>
  <c r="S60" i="1"/>
  <c r="AA62" i="3"/>
  <c r="Z63" i="3" s="1"/>
  <c r="R60" i="1"/>
  <c r="U75" i="3"/>
  <c r="Q73" i="1"/>
  <c r="N62" i="3" l="1"/>
  <c r="E63" i="3" s="1"/>
  <c r="D63" i="3"/>
  <c r="W75" i="3"/>
  <c r="P76" i="3"/>
  <c r="F63" i="3" l="1"/>
  <c r="Y63" i="3"/>
  <c r="G63" i="3" s="1"/>
  <c r="Q76" i="3"/>
  <c r="R76" i="3" s="1"/>
  <c r="AB76" i="3"/>
  <c r="H63" i="3" l="1"/>
  <c r="I63" i="3" s="1"/>
  <c r="U61" i="1"/>
  <c r="S76" i="3"/>
  <c r="T76" i="3" s="1"/>
  <c r="T74" i="1"/>
  <c r="R61" i="1" l="1"/>
  <c r="AA63" i="3"/>
  <c r="Z64" i="3" s="1"/>
  <c r="K63" i="3"/>
  <c r="S61" i="1"/>
  <c r="P74" i="1"/>
  <c r="AD76" i="3"/>
  <c r="AC77" i="3" s="1"/>
  <c r="Q74" i="1"/>
  <c r="U76" i="3"/>
  <c r="M63" i="3" l="1"/>
  <c r="L63" i="3"/>
  <c r="O63" i="3" s="1"/>
  <c r="X63" i="3" s="1"/>
  <c r="W76" i="3"/>
  <c r="P77" i="3"/>
  <c r="AB77" i="3" s="1"/>
  <c r="R77" i="3" s="1"/>
  <c r="N63" i="3"/>
  <c r="E64" i="3" s="1"/>
  <c r="Q77" i="3"/>
  <c r="D64" i="3" l="1"/>
  <c r="F64" i="3" s="1"/>
  <c r="G64" i="3" s="1"/>
  <c r="V63" i="3"/>
  <c r="Y64" i="3"/>
  <c r="S77" i="3"/>
  <c r="T75" i="1"/>
  <c r="H64" i="3" l="1"/>
  <c r="I64" i="3" s="1"/>
  <c r="U62" i="1"/>
  <c r="P75" i="1"/>
  <c r="T77" i="3"/>
  <c r="AD77" i="3"/>
  <c r="AC78" i="3" s="1"/>
  <c r="K64" i="3" l="1"/>
  <c r="S62" i="1"/>
  <c r="AA64" i="3"/>
  <c r="Z65" i="3" s="1"/>
  <c r="R62" i="1"/>
  <c r="Q75" i="1"/>
  <c r="U77" i="3"/>
  <c r="W77" i="3" s="1"/>
  <c r="L64" i="3" l="1"/>
  <c r="O64" i="3" s="1"/>
  <c r="X64" i="3" s="1"/>
  <c r="M64" i="3"/>
  <c r="L12" i="1"/>
  <c r="P78" i="3"/>
  <c r="N64" i="3" l="1"/>
  <c r="E65" i="3" s="1"/>
  <c r="D65" i="3"/>
  <c r="V64" i="3"/>
  <c r="AB78" i="3"/>
  <c r="Q78" i="3"/>
  <c r="R78" i="3" s="1"/>
  <c r="Y65" i="3" l="1"/>
  <c r="F65" i="3"/>
  <c r="G65" i="3" s="1"/>
  <c r="U63" i="1" s="1"/>
  <c r="T76" i="1"/>
  <c r="S78" i="3"/>
  <c r="T78" i="3" s="1"/>
  <c r="H65" i="3" l="1"/>
  <c r="U78" i="3"/>
  <c r="Q76" i="1"/>
  <c r="AD78" i="3"/>
  <c r="AC79" i="3" s="1"/>
  <c r="P76" i="1"/>
  <c r="R63" i="1" l="1"/>
  <c r="AA65" i="3"/>
  <c r="Z66" i="3" s="1"/>
  <c r="I65" i="3"/>
  <c r="P79" i="3"/>
  <c r="W78" i="3"/>
  <c r="K65" i="3" l="1"/>
  <c r="M65" i="3" s="1"/>
  <c r="S63" i="1"/>
  <c r="AB79" i="3"/>
  <c r="Q79" i="3"/>
  <c r="R79" i="3" s="1"/>
  <c r="M11" i="1" l="1"/>
  <c r="N65" i="3"/>
  <c r="E66" i="3" s="1"/>
  <c r="F66" i="3" s="1"/>
  <c r="D66" i="3"/>
  <c r="V65" i="3"/>
  <c r="L65" i="3"/>
  <c r="O65" i="3" s="1"/>
  <c r="X65" i="3" s="1"/>
  <c r="T77" i="1"/>
  <c r="S79" i="3"/>
  <c r="Y66" i="3" l="1"/>
  <c r="G66" i="3" s="1"/>
  <c r="P77" i="1"/>
  <c r="T79" i="3"/>
  <c r="AD79" i="3"/>
  <c r="AC80" i="3" s="1"/>
  <c r="H66" i="3" l="1"/>
  <c r="I66" i="3" s="1"/>
  <c r="U64" i="1"/>
  <c r="Q77" i="1"/>
  <c r="U79" i="3"/>
  <c r="K66" i="3" l="1"/>
  <c r="M66" i="3" s="1"/>
  <c r="S64" i="1"/>
  <c r="AA66" i="3"/>
  <c r="Z67" i="3" s="1"/>
  <c r="R64" i="1"/>
  <c r="L66" i="3"/>
  <c r="O66" i="3" s="1"/>
  <c r="X66" i="3" s="1"/>
  <c r="P80" i="3"/>
  <c r="W79" i="3"/>
  <c r="V66" i="3" l="1"/>
  <c r="D67" i="3"/>
  <c r="N66" i="3"/>
  <c r="E67" i="3" s="1"/>
  <c r="Q80" i="3"/>
  <c r="AB80" i="3"/>
  <c r="R80" i="3" l="1"/>
  <c r="F67" i="3"/>
  <c r="Y67" i="3"/>
  <c r="S80" i="3" l="1"/>
  <c r="T78" i="1"/>
  <c r="G67" i="3"/>
  <c r="AD80" i="3" l="1"/>
  <c r="AC81" i="3" s="1"/>
  <c r="P78" i="1"/>
  <c r="T80" i="3"/>
  <c r="H67" i="3"/>
  <c r="U65" i="1"/>
  <c r="U80" i="3" l="1"/>
  <c r="Q78" i="1"/>
  <c r="I67" i="3"/>
  <c r="AA67" i="3"/>
  <c r="Z68" i="3" s="1"/>
  <c r="R65" i="1"/>
  <c r="W80" i="3" l="1"/>
  <c r="P81" i="3"/>
  <c r="K67" i="3"/>
  <c r="S65" i="1"/>
  <c r="Q81" i="3" l="1"/>
  <c r="AB81" i="3"/>
  <c r="R81" i="3" s="1"/>
  <c r="L67" i="3"/>
  <c r="O67" i="3" s="1"/>
  <c r="X67" i="3" s="1"/>
  <c r="M67" i="3"/>
  <c r="T79" i="1" l="1"/>
  <c r="S81" i="3"/>
  <c r="T81" i="3" s="1"/>
  <c r="N67" i="3"/>
  <c r="E68" i="3" s="1"/>
  <c r="V67" i="3"/>
  <c r="D68" i="3"/>
  <c r="U81" i="3" l="1"/>
  <c r="Q79" i="1"/>
  <c r="AD81" i="3"/>
  <c r="AC82" i="3" s="1"/>
  <c r="P79" i="1"/>
  <c r="F68" i="3"/>
  <c r="Y68" i="3"/>
  <c r="W81" i="3" l="1"/>
  <c r="P82" i="3"/>
  <c r="G68" i="3"/>
  <c r="AB82" i="3" l="1"/>
  <c r="Q82" i="3"/>
  <c r="U66" i="1"/>
  <c r="H68" i="3"/>
  <c r="R82" i="3" l="1"/>
  <c r="R66" i="1"/>
  <c r="I68" i="3"/>
  <c r="AA68" i="3"/>
  <c r="Z69" i="3" s="1"/>
  <c r="K68" i="3"/>
  <c r="M68" i="3" s="1"/>
  <c r="S66" i="1"/>
  <c r="S82" i="3" l="1"/>
  <c r="T82" i="3" s="1"/>
  <c r="T80" i="1"/>
  <c r="V68" i="3"/>
  <c r="L68" i="3"/>
  <c r="O68" i="3" s="1"/>
  <c r="X68" i="3" s="1"/>
  <c r="N68" i="3"/>
  <c r="E69" i="3" s="1"/>
  <c r="D69" i="3"/>
  <c r="AD82" i="3" l="1"/>
  <c r="AC83" i="3" s="1"/>
  <c r="P80" i="1"/>
  <c r="U82" i="3"/>
  <c r="Q80" i="1"/>
  <c r="Y69" i="3"/>
  <c r="F69" i="3"/>
  <c r="W82" i="3" l="1"/>
  <c r="P83" i="3"/>
  <c r="G69" i="3"/>
  <c r="H69" i="3" s="1"/>
  <c r="AB83" i="3" l="1"/>
  <c r="Q83" i="3"/>
  <c r="I69" i="3"/>
  <c r="U67" i="1"/>
  <c r="R67" i="1"/>
  <c r="AA69" i="3"/>
  <c r="Z70" i="3" s="1"/>
  <c r="R83" i="3" l="1"/>
  <c r="S67" i="1"/>
  <c r="K69" i="3"/>
  <c r="T81" i="1" l="1"/>
  <c r="S83" i="3"/>
  <c r="L69" i="3"/>
  <c r="O69" i="3" s="1"/>
  <c r="X69" i="3" s="1"/>
  <c r="M69" i="3"/>
  <c r="P81" i="1" l="1"/>
  <c r="AD83" i="3"/>
  <c r="AC84" i="3" s="1"/>
  <c r="T83" i="3"/>
  <c r="V69" i="3"/>
  <c r="N69" i="3"/>
  <c r="E70" i="3" s="1"/>
  <c r="D70" i="3"/>
  <c r="U83" i="3" l="1"/>
  <c r="Q81" i="1"/>
  <c r="Y70" i="3"/>
  <c r="F70" i="3"/>
  <c r="G70" i="3" s="1"/>
  <c r="P84" i="3" l="1"/>
  <c r="W83" i="3"/>
  <c r="H70" i="3"/>
  <c r="I70" i="3" s="1"/>
  <c r="U68" i="1"/>
  <c r="Q84" i="3" l="1"/>
  <c r="AB84" i="3"/>
  <c r="R84" i="3" s="1"/>
  <c r="S84" i="3" s="1"/>
  <c r="P82" i="1" s="1"/>
  <c r="AD84" i="3"/>
  <c r="AC85" i="3" s="1"/>
  <c r="T84" i="3"/>
  <c r="T82" i="1"/>
  <c r="R68" i="1"/>
  <c r="AA70" i="3"/>
  <c r="Z71" i="3" s="1"/>
  <c r="K70" i="3"/>
  <c r="S68" i="1"/>
  <c r="Q82" i="1" l="1"/>
  <c r="U84" i="3"/>
  <c r="L70" i="3"/>
  <c r="O70" i="3" s="1"/>
  <c r="X70" i="3" s="1"/>
  <c r="M70" i="3"/>
  <c r="V70" i="3" s="1"/>
  <c r="W84" i="3" l="1"/>
  <c r="P85" i="3"/>
  <c r="D71" i="3"/>
  <c r="N70" i="3"/>
  <c r="E71" i="3" s="1"/>
  <c r="AB85" i="3" l="1"/>
  <c r="Q85" i="3"/>
  <c r="R85" i="3" s="1"/>
  <c r="T83" i="1" s="1"/>
  <c r="Y71" i="3"/>
  <c r="F71" i="3"/>
  <c r="S85" i="3" l="1"/>
  <c r="G71" i="3"/>
  <c r="P83" i="1" l="1"/>
  <c r="AD85" i="3"/>
  <c r="AC86" i="3" s="1"/>
  <c r="T85" i="3"/>
  <c r="H71" i="3"/>
  <c r="U69" i="1"/>
  <c r="U85" i="3" l="1"/>
  <c r="Q83" i="1"/>
  <c r="I71" i="3"/>
  <c r="R69" i="1"/>
  <c r="AA71" i="3"/>
  <c r="Z72" i="3" s="1"/>
  <c r="P86" i="3" l="1"/>
  <c r="W85" i="3"/>
  <c r="K71" i="3"/>
  <c r="S69" i="1"/>
  <c r="Q86" i="3" l="1"/>
  <c r="AB86" i="3"/>
  <c r="L71" i="3"/>
  <c r="O71" i="3" s="1"/>
  <c r="X71" i="3" s="1"/>
  <c r="M71" i="3"/>
  <c r="V71" i="3" s="1"/>
  <c r="R86" i="3" l="1"/>
  <c r="S86" i="3" s="1"/>
  <c r="N71" i="3"/>
  <c r="E72" i="3" s="1"/>
  <c r="D72" i="3"/>
  <c r="P84" i="1" l="1"/>
  <c r="AD86" i="3"/>
  <c r="AC87" i="3" s="1"/>
  <c r="T86" i="3"/>
  <c r="T84" i="1"/>
  <c r="Y72" i="3"/>
  <c r="F72" i="3"/>
  <c r="Q84" i="1" l="1"/>
  <c r="U86" i="3"/>
  <c r="G72" i="3"/>
  <c r="P87" i="3" l="1"/>
  <c r="W86" i="3"/>
  <c r="H72" i="3"/>
  <c r="U70" i="1"/>
  <c r="I72" i="3" l="1"/>
  <c r="R70" i="1"/>
  <c r="AA72" i="3"/>
  <c r="Z73" i="3" s="1"/>
  <c r="Q87" i="3"/>
  <c r="R87" i="3" s="1"/>
  <c r="AB87" i="3"/>
  <c r="K72" i="3" l="1"/>
  <c r="S70" i="1"/>
  <c r="T85" i="1"/>
  <c r="S87" i="3"/>
  <c r="L72" i="3" l="1"/>
  <c r="O72" i="3" s="1"/>
  <c r="X72" i="3" s="1"/>
  <c r="M72" i="3"/>
  <c r="P85" i="1"/>
  <c r="T87" i="3"/>
  <c r="AD87" i="3"/>
  <c r="AC88" i="3" s="1"/>
  <c r="V72" i="3" l="1"/>
  <c r="N72" i="3"/>
  <c r="E73" i="3" s="1"/>
  <c r="D73" i="3"/>
  <c r="Q85" i="1"/>
  <c r="U87" i="3"/>
  <c r="F73" i="3" l="1"/>
  <c r="G73" i="3" s="1"/>
  <c r="U71" i="1" s="1"/>
  <c r="Y73" i="3"/>
  <c r="P88" i="3"/>
  <c r="W87" i="3"/>
  <c r="H73" i="3" l="1"/>
  <c r="AA73" i="3" s="1"/>
  <c r="Z74" i="3" s="1"/>
  <c r="Q88" i="3"/>
  <c r="AB88" i="3"/>
  <c r="R71" i="1" l="1"/>
  <c r="I73" i="3"/>
  <c r="R88" i="3"/>
  <c r="K73" i="3" l="1"/>
  <c r="S71" i="1"/>
  <c r="T86" i="1"/>
  <c r="S88" i="3"/>
  <c r="L73" i="3" l="1"/>
  <c r="O73" i="3" s="1"/>
  <c r="X73" i="3" s="1"/>
  <c r="V73" i="3"/>
  <c r="M73" i="3"/>
  <c r="T88" i="3"/>
  <c r="P86" i="1"/>
  <c r="AD88" i="3"/>
  <c r="AC89" i="3" s="1"/>
  <c r="D74" i="3" l="1"/>
  <c r="N73" i="3"/>
  <c r="E74" i="3" s="1"/>
  <c r="Q86" i="1"/>
  <c r="U88" i="3"/>
  <c r="F74" i="3" l="1"/>
  <c r="G74" i="3" s="1"/>
  <c r="Y74" i="3"/>
  <c r="P89" i="3"/>
  <c r="W88" i="3"/>
  <c r="U72" i="1" l="1"/>
  <c r="H74" i="3"/>
  <c r="I74" i="3" s="1"/>
  <c r="AB89" i="3"/>
  <c r="Q89" i="3"/>
  <c r="R89" i="3" s="1"/>
  <c r="T87" i="1" s="1"/>
  <c r="K74" i="3" l="1"/>
  <c r="M74" i="3" s="1"/>
  <c r="S72" i="1"/>
  <c r="AA74" i="3"/>
  <c r="Z75" i="3" s="1"/>
  <c r="R72" i="1"/>
  <c r="S89" i="3"/>
  <c r="AD89" i="3" s="1"/>
  <c r="AC90" i="3" s="1"/>
  <c r="D75" i="3" l="1"/>
  <c r="N74" i="3"/>
  <c r="E75" i="3" s="1"/>
  <c r="V74" i="3"/>
  <c r="L74" i="3"/>
  <c r="O74" i="3" s="1"/>
  <c r="X74" i="3" s="1"/>
  <c r="P87" i="1"/>
  <c r="T89" i="3"/>
  <c r="F75" i="3" l="1"/>
  <c r="Y75" i="3"/>
  <c r="U89" i="3"/>
  <c r="W89" i="3" s="1"/>
  <c r="Q87" i="1"/>
  <c r="G75" i="3" l="1"/>
  <c r="L13" i="1"/>
  <c r="P90" i="3"/>
  <c r="H75" i="3" l="1"/>
  <c r="U73" i="1"/>
  <c r="Q90" i="3"/>
  <c r="AB90" i="3"/>
  <c r="I75" i="3" l="1"/>
  <c r="AA75" i="3"/>
  <c r="Z76" i="3" s="1"/>
  <c r="R73" i="1"/>
  <c r="R90" i="3"/>
  <c r="S90" i="3" s="1"/>
  <c r="S73" i="1" l="1"/>
  <c r="K75" i="3"/>
  <c r="T90" i="3"/>
  <c r="U90" i="3" s="1"/>
  <c r="T88" i="1"/>
  <c r="Q88" i="1"/>
  <c r="P88" i="1"/>
  <c r="AD90" i="3"/>
  <c r="AC91" i="3" s="1"/>
  <c r="M75" i="3" l="1"/>
  <c r="L75" i="3"/>
  <c r="O75" i="3" s="1"/>
  <c r="X75" i="3" s="1"/>
  <c r="P91" i="3"/>
  <c r="W90" i="3"/>
  <c r="Q91" i="3"/>
  <c r="AB91" i="3"/>
  <c r="V75" i="3" l="1"/>
  <c r="N75" i="3"/>
  <c r="E76" i="3" s="1"/>
  <c r="D76" i="3"/>
  <c r="R91" i="3"/>
  <c r="T89" i="1" l="1"/>
  <c r="S91" i="3"/>
  <c r="F76" i="3"/>
  <c r="G76" i="3" s="1"/>
  <c r="U74" i="1" s="1"/>
  <c r="Y76" i="3"/>
  <c r="T91" i="3" l="1"/>
  <c r="AD91" i="3"/>
  <c r="AC92" i="3" s="1"/>
  <c r="P89" i="1"/>
  <c r="H76" i="3"/>
  <c r="U91" i="3" l="1"/>
  <c r="Q89" i="1"/>
  <c r="AA76" i="3"/>
  <c r="Z77" i="3" s="1"/>
  <c r="R74" i="1"/>
  <c r="I76" i="3"/>
  <c r="W91" i="3" l="1"/>
  <c r="P92" i="3"/>
  <c r="K76" i="3"/>
  <c r="M76" i="3" s="1"/>
  <c r="S74" i="1"/>
  <c r="Q92" i="3" l="1"/>
  <c r="R92" i="3" s="1"/>
  <c r="T90" i="1" s="1"/>
  <c r="AB92" i="3"/>
  <c r="D77" i="3"/>
  <c r="N76" i="3"/>
  <c r="E77" i="3" s="1"/>
  <c r="V76" i="3"/>
  <c r="L76" i="3"/>
  <c r="O76" i="3" s="1"/>
  <c r="X76" i="3" s="1"/>
  <c r="S92" i="3" l="1"/>
  <c r="F77" i="3"/>
  <c r="Y77" i="3"/>
  <c r="AD92" i="3" l="1"/>
  <c r="AC93" i="3" s="1"/>
  <c r="P90" i="1"/>
  <c r="T92" i="3"/>
  <c r="G77" i="3"/>
  <c r="U92" i="3" l="1"/>
  <c r="Q90" i="1"/>
  <c r="U75" i="1"/>
  <c r="H77" i="3"/>
  <c r="P93" i="3" l="1"/>
  <c r="W92" i="3"/>
  <c r="I77" i="3"/>
  <c r="AA77" i="3"/>
  <c r="Z78" i="3" s="1"/>
  <c r="R75" i="1"/>
  <c r="AB93" i="3" l="1"/>
  <c r="Q93" i="3"/>
  <c r="R93" i="3"/>
  <c r="K77" i="3"/>
  <c r="S75" i="1"/>
  <c r="S93" i="3" l="1"/>
  <c r="T91" i="1"/>
  <c r="T93" i="3"/>
  <c r="L77" i="3"/>
  <c r="O77" i="3" s="1"/>
  <c r="X77" i="3" s="1"/>
  <c r="M77" i="3"/>
  <c r="V77" i="3" s="1"/>
  <c r="U93" i="3" l="1"/>
  <c r="P94" i="3" s="1"/>
  <c r="W93" i="3"/>
  <c r="Q91" i="1"/>
  <c r="P91" i="1"/>
  <c r="AD93" i="3"/>
  <c r="AC94" i="3" s="1"/>
  <c r="N77" i="3"/>
  <c r="E78" i="3" s="1"/>
  <c r="M12" i="1"/>
  <c r="D78" i="3"/>
  <c r="AB94" i="3" l="1"/>
  <c r="Q94" i="3"/>
  <c r="R94" i="3" s="1"/>
  <c r="F78" i="3"/>
  <c r="Y78" i="3"/>
  <c r="S94" i="3" l="1"/>
  <c r="T92" i="1"/>
  <c r="G78" i="3"/>
  <c r="P92" i="1" l="1"/>
  <c r="AD94" i="3"/>
  <c r="AC95" i="3" s="1"/>
  <c r="T94" i="3"/>
  <c r="H78" i="3"/>
  <c r="U76" i="1"/>
  <c r="U94" i="3" l="1"/>
  <c r="Q92" i="1"/>
  <c r="AA78" i="3"/>
  <c r="Z79" i="3" s="1"/>
  <c r="R76" i="1"/>
  <c r="I78" i="3"/>
  <c r="P95" i="3" l="1"/>
  <c r="W94" i="3"/>
  <c r="K78" i="3"/>
  <c r="S76" i="1"/>
  <c r="AB95" i="3" l="1"/>
  <c r="Q95" i="3"/>
  <c r="R95" i="3" s="1"/>
  <c r="L78" i="3"/>
  <c r="O78" i="3" s="1"/>
  <c r="X78" i="3" s="1"/>
  <c r="M78" i="3"/>
  <c r="V78" i="3" s="1"/>
  <c r="S95" i="3" l="1"/>
  <c r="T93" i="1"/>
  <c r="N78" i="3"/>
  <c r="E79" i="3" s="1"/>
  <c r="D79" i="3"/>
  <c r="P93" i="1" l="1"/>
  <c r="T95" i="3"/>
  <c r="AD95" i="3"/>
  <c r="AC96" i="3" s="1"/>
  <c r="Y79" i="3"/>
  <c r="F79" i="3"/>
  <c r="Q93" i="1" l="1"/>
  <c r="U95" i="3"/>
  <c r="G79" i="3"/>
  <c r="P96" i="3" l="1"/>
  <c r="W95" i="3"/>
  <c r="H79" i="3"/>
  <c r="U77" i="1"/>
  <c r="R77" i="1"/>
  <c r="AA79" i="3"/>
  <c r="Z80" i="3" s="1"/>
  <c r="I79" i="3"/>
  <c r="AB96" i="3" l="1"/>
  <c r="Q96" i="3"/>
  <c r="R96" i="3"/>
  <c r="S77" i="1"/>
  <c r="K79" i="3"/>
  <c r="S96" i="3" l="1"/>
  <c r="T96" i="3"/>
  <c r="T94" i="1"/>
  <c r="L79" i="3"/>
  <c r="O79" i="3" s="1"/>
  <c r="X79" i="3" s="1"/>
  <c r="M79" i="3"/>
  <c r="Q94" i="1" l="1"/>
  <c r="U96" i="3"/>
  <c r="P94" i="1"/>
  <c r="AD96" i="3"/>
  <c r="AC97" i="3" s="1"/>
  <c r="V79" i="3"/>
  <c r="D80" i="3"/>
  <c r="N79" i="3"/>
  <c r="E80" i="3" s="1"/>
  <c r="P97" i="3" l="1"/>
  <c r="W96" i="3"/>
  <c r="F80" i="3"/>
  <c r="G80" i="3" s="1"/>
  <c r="Y80" i="3"/>
  <c r="Q97" i="3" l="1"/>
  <c r="R97" i="3" s="1"/>
  <c r="T95" i="1" s="1"/>
  <c r="AB97" i="3"/>
  <c r="U78" i="1"/>
  <c r="H80" i="3"/>
  <c r="I80" i="3" s="1"/>
  <c r="S97" i="3" l="1"/>
  <c r="K80" i="3"/>
  <c r="S78" i="1"/>
  <c r="R78" i="1"/>
  <c r="AA80" i="3"/>
  <c r="Z81" i="3" s="1"/>
  <c r="P95" i="1" l="1"/>
  <c r="AD97" i="3"/>
  <c r="AC98" i="3" s="1"/>
  <c r="T97" i="3"/>
  <c r="L80" i="3"/>
  <c r="O80" i="3" s="1"/>
  <c r="X80" i="3" s="1"/>
  <c r="M80" i="3"/>
  <c r="U97" i="3" l="1"/>
  <c r="Q95" i="1"/>
  <c r="V80" i="3"/>
  <c r="N80" i="3"/>
  <c r="E81" i="3" s="1"/>
  <c r="D81" i="3"/>
  <c r="P98" i="3" l="1"/>
  <c r="W97" i="3"/>
  <c r="Y81" i="3"/>
  <c r="F81" i="3"/>
  <c r="G81" i="3" s="1"/>
  <c r="Q98" i="3" l="1"/>
  <c r="AB98" i="3"/>
  <c r="U79" i="1"/>
  <c r="H81" i="3"/>
  <c r="AA81" i="3" s="1"/>
  <c r="Z82" i="3" s="1"/>
  <c r="R98" i="3" l="1"/>
  <c r="S98" i="3" s="1"/>
  <c r="R79" i="1"/>
  <c r="I81" i="3"/>
  <c r="T98" i="3" l="1"/>
  <c r="T96" i="1"/>
  <c r="AD98" i="3"/>
  <c r="AC99" i="3" s="1"/>
  <c r="P96" i="1"/>
  <c r="K81" i="3"/>
  <c r="M81" i="3" s="1"/>
  <c r="S79" i="1"/>
  <c r="W98" i="3" l="1"/>
  <c r="Q96" i="1"/>
  <c r="U98" i="3"/>
  <c r="P99" i="3" s="1"/>
  <c r="V81" i="3"/>
  <c r="L81" i="3"/>
  <c r="O81" i="3" s="1"/>
  <c r="X81" i="3" s="1"/>
  <c r="D82" i="3"/>
  <c r="N81" i="3"/>
  <c r="E82" i="3" s="1"/>
  <c r="AB99" i="3" l="1"/>
  <c r="R99" i="3" s="1"/>
  <c r="T97" i="1" s="1"/>
  <c r="Q99" i="3"/>
  <c r="F82" i="3"/>
  <c r="G82" i="3" s="1"/>
  <c r="Y82" i="3"/>
  <c r="S99" i="3" l="1"/>
  <c r="AD99" i="3" s="1"/>
  <c r="AC100" i="3" s="1"/>
  <c r="H82" i="3"/>
  <c r="I82" i="3" s="1"/>
  <c r="U80" i="1"/>
  <c r="P97" i="1" l="1"/>
  <c r="T99" i="3"/>
  <c r="K82" i="3"/>
  <c r="M82" i="3" s="1"/>
  <c r="S80" i="1"/>
  <c r="AA82" i="3"/>
  <c r="R80" i="1"/>
  <c r="D83" i="3"/>
  <c r="V82" i="3"/>
  <c r="L82" i="3"/>
  <c r="O82" i="3" s="1"/>
  <c r="X82" i="3" s="1"/>
  <c r="U99" i="3" l="1"/>
  <c r="Q97" i="1"/>
  <c r="Z83" i="3"/>
  <c r="N82" i="3"/>
  <c r="E83" i="3" s="1"/>
  <c r="F83" i="3"/>
  <c r="Y83" i="3"/>
  <c r="P100" i="3" l="1"/>
  <c r="W99" i="3"/>
  <c r="G83" i="3"/>
  <c r="Q100" i="3" l="1"/>
  <c r="AB100" i="3"/>
  <c r="R100" i="3" s="1"/>
  <c r="U81" i="1"/>
  <c r="H83" i="3"/>
  <c r="I83" i="3" s="1"/>
  <c r="S100" i="3" l="1"/>
  <c r="T98" i="1"/>
  <c r="S81" i="1"/>
  <c r="K83" i="3"/>
  <c r="AA83" i="3"/>
  <c r="Z84" i="3" s="1"/>
  <c r="R81" i="1"/>
  <c r="P98" i="1" l="1"/>
  <c r="AD100" i="3"/>
  <c r="AC101" i="3" s="1"/>
  <c r="T100" i="3"/>
  <c r="M83" i="3"/>
  <c r="L83" i="3"/>
  <c r="O83" i="3" s="1"/>
  <c r="X83" i="3" s="1"/>
  <c r="U100" i="3" l="1"/>
  <c r="Q98" i="1"/>
  <c r="V83" i="3"/>
  <c r="N83" i="3"/>
  <c r="E84" i="3" s="1"/>
  <c r="D84" i="3"/>
  <c r="P101" i="3" l="1"/>
  <c r="W100" i="3"/>
  <c r="F84" i="3"/>
  <c r="Y84" i="3"/>
  <c r="Q101" i="3" l="1"/>
  <c r="R101" i="3" s="1"/>
  <c r="T99" i="1" s="1"/>
  <c r="AB101" i="3"/>
  <c r="G84" i="3"/>
  <c r="S101" i="3" l="1"/>
  <c r="AD101" i="3" s="1"/>
  <c r="AC102" i="3" s="1"/>
  <c r="U82" i="1"/>
  <c r="H84" i="3"/>
  <c r="P99" i="1" l="1"/>
  <c r="T101" i="3"/>
  <c r="R82" i="1"/>
  <c r="I84" i="3"/>
  <c r="AA84" i="3"/>
  <c r="Z85" i="3" s="1"/>
  <c r="U101" i="3" l="1"/>
  <c r="Q99" i="1"/>
  <c r="S82" i="1"/>
  <c r="K84" i="3"/>
  <c r="W101" i="3" l="1"/>
  <c r="L14" i="1"/>
  <c r="P102" i="3"/>
  <c r="L84" i="3"/>
  <c r="O84" i="3" s="1"/>
  <c r="X84" i="3" s="1"/>
  <c r="M84" i="3"/>
  <c r="Q102" i="3" l="1"/>
  <c r="AB102" i="3"/>
  <c r="V84" i="3"/>
  <c r="D85" i="3"/>
  <c r="N84" i="3"/>
  <c r="E85" i="3" s="1"/>
  <c r="R102" i="3" l="1"/>
  <c r="F85" i="3"/>
  <c r="Y85" i="3"/>
  <c r="T100" i="1" l="1"/>
  <c r="S102" i="3"/>
  <c r="G85" i="3"/>
  <c r="T102" i="3" l="1"/>
  <c r="P100" i="1"/>
  <c r="AD102" i="3"/>
  <c r="AC103" i="3" s="1"/>
  <c r="H85" i="3"/>
  <c r="R83" i="1" s="1"/>
  <c r="U83" i="1"/>
  <c r="U102" i="3" l="1"/>
  <c r="Q100" i="1"/>
  <c r="I85" i="3"/>
  <c r="AA85" i="3"/>
  <c r="Z86" i="3" s="1"/>
  <c r="P103" i="3" l="1"/>
  <c r="W102" i="3"/>
  <c r="K85" i="3"/>
  <c r="M85" i="3" s="1"/>
  <c r="S83" i="1"/>
  <c r="V85" i="3"/>
  <c r="L85" i="3"/>
  <c r="O85" i="3" s="1"/>
  <c r="X85" i="3" s="1"/>
  <c r="Q103" i="3" l="1"/>
  <c r="AB103" i="3"/>
  <c r="R103" i="3" s="1"/>
  <c r="D86" i="3"/>
  <c r="N85" i="3"/>
  <c r="E86" i="3" s="1"/>
  <c r="T101" i="1" l="1"/>
  <c r="S103" i="3"/>
  <c r="T103" i="3" s="1"/>
  <c r="Y86" i="3"/>
  <c r="F86" i="3"/>
  <c r="G86" i="3" s="1"/>
  <c r="U103" i="3" l="1"/>
  <c r="Q101" i="1"/>
  <c r="AD103" i="3"/>
  <c r="AC104" i="3" s="1"/>
  <c r="P101" i="1"/>
  <c r="U84" i="1"/>
  <c r="H86" i="3"/>
  <c r="AA86" i="3"/>
  <c r="Z87" i="3" s="1"/>
  <c r="P104" i="3" l="1"/>
  <c r="W103" i="3"/>
  <c r="R84" i="1"/>
  <c r="I86" i="3"/>
  <c r="S84" i="1" s="1"/>
  <c r="K86" i="3"/>
  <c r="M86" i="3" s="1"/>
  <c r="AB104" i="3" l="1"/>
  <c r="R104" i="3" s="1"/>
  <c r="Q104" i="3"/>
  <c r="N86" i="3"/>
  <c r="E87" i="3" s="1"/>
  <c r="D87" i="3"/>
  <c r="V86" i="3"/>
  <c r="L86" i="3"/>
  <c r="O86" i="3" s="1"/>
  <c r="X86" i="3" s="1"/>
  <c r="T102" i="1" l="1"/>
  <c r="S104" i="3"/>
  <c r="F87" i="3"/>
  <c r="Y87" i="3"/>
  <c r="P102" i="1" l="1"/>
  <c r="T104" i="3"/>
  <c r="AD104" i="3"/>
  <c r="AC105" i="3" s="1"/>
  <c r="G87" i="3"/>
  <c r="Q102" i="1" l="1"/>
  <c r="U104" i="3"/>
  <c r="U85" i="1"/>
  <c r="H87" i="3"/>
  <c r="R85" i="1" s="1"/>
  <c r="P105" i="3" l="1"/>
  <c r="W104" i="3"/>
  <c r="I87" i="3"/>
  <c r="AA87" i="3"/>
  <c r="Z88" i="3" s="1"/>
  <c r="AB105" i="3" l="1"/>
  <c r="R105" i="3" s="1"/>
  <c r="Q105" i="3"/>
  <c r="K87" i="3"/>
  <c r="S85" i="1"/>
  <c r="T103" i="1" l="1"/>
  <c r="S105" i="3"/>
  <c r="T105" i="3" s="1"/>
  <c r="L87" i="3"/>
  <c r="O87" i="3" s="1"/>
  <c r="X87" i="3" s="1"/>
  <c r="M87" i="3"/>
  <c r="U105" i="3" l="1"/>
  <c r="Q103" i="1"/>
  <c r="AD105" i="3"/>
  <c r="AC106" i="3" s="1"/>
  <c r="P103" i="1"/>
  <c r="N87" i="3"/>
  <c r="E88" i="3" s="1"/>
  <c r="D88" i="3"/>
  <c r="V87" i="3"/>
  <c r="P106" i="3" l="1"/>
  <c r="W105" i="3"/>
  <c r="Y88" i="3"/>
  <c r="F88" i="3"/>
  <c r="Q106" i="3" l="1"/>
  <c r="R106" i="3" s="1"/>
  <c r="AB106" i="3"/>
  <c r="G88" i="3"/>
  <c r="T104" i="1" l="1"/>
  <c r="S106" i="3"/>
  <c r="T106" i="3" s="1"/>
  <c r="H88" i="3"/>
  <c r="U86" i="1"/>
  <c r="U106" i="3" l="1"/>
  <c r="Q104" i="1"/>
  <c r="AD106" i="3"/>
  <c r="AC107" i="3" s="1"/>
  <c r="P104" i="1"/>
  <c r="I88" i="3"/>
  <c r="R86" i="1"/>
  <c r="AA88" i="3"/>
  <c r="Z89" i="3" s="1"/>
  <c r="P107" i="3" l="1"/>
  <c r="W106" i="3"/>
  <c r="S86" i="1"/>
  <c r="K88" i="3"/>
  <c r="Q107" i="3" l="1"/>
  <c r="R107" i="3" s="1"/>
  <c r="T105" i="1" s="1"/>
  <c r="AB107" i="3"/>
  <c r="M88" i="3"/>
  <c r="L88" i="3"/>
  <c r="O88" i="3" s="1"/>
  <c r="X88" i="3" s="1"/>
  <c r="S107" i="3" l="1"/>
  <c r="AD107" i="3" s="1"/>
  <c r="AC108" i="3" s="1"/>
  <c r="N88" i="3"/>
  <c r="E89" i="3" s="1"/>
  <c r="D89" i="3"/>
  <c r="V88" i="3"/>
  <c r="P105" i="1" l="1"/>
  <c r="T107" i="3"/>
  <c r="F89" i="3"/>
  <c r="G89" i="3" s="1"/>
  <c r="Y89" i="3"/>
  <c r="U107" i="3" l="1"/>
  <c r="Q105" i="1"/>
  <c r="H89" i="3"/>
  <c r="I89" i="3" s="1"/>
  <c r="U87" i="1"/>
  <c r="P108" i="3" l="1"/>
  <c r="W107" i="3"/>
  <c r="R87" i="1"/>
  <c r="AA89" i="3"/>
  <c r="Z90" i="3" s="1"/>
  <c r="K89" i="3"/>
  <c r="S87" i="1"/>
  <c r="Q108" i="3" l="1"/>
  <c r="R108" i="3" s="1"/>
  <c r="AB108" i="3"/>
  <c r="L89" i="3"/>
  <c r="O89" i="3" s="1"/>
  <c r="X89" i="3" s="1"/>
  <c r="M89" i="3"/>
  <c r="T106" i="1" l="1"/>
  <c r="S108" i="3"/>
  <c r="T108" i="3" s="1"/>
  <c r="V89" i="3"/>
  <c r="N89" i="3"/>
  <c r="E90" i="3" s="1"/>
  <c r="M13" i="1"/>
  <c r="D90" i="3"/>
  <c r="U108" i="3" l="1"/>
  <c r="Q106" i="1"/>
  <c r="AD108" i="3"/>
  <c r="AC109" i="3" s="1"/>
  <c r="P106" i="1"/>
  <c r="F90" i="3"/>
  <c r="Y90" i="3"/>
  <c r="P109" i="3" l="1"/>
  <c r="W108" i="3"/>
  <c r="G90" i="3"/>
  <c r="Q109" i="3" l="1"/>
  <c r="AB109" i="3"/>
  <c r="R109" i="3" s="1"/>
  <c r="T107" i="1" s="1"/>
  <c r="H90" i="3"/>
  <c r="U88" i="1"/>
  <c r="S109" i="3" l="1"/>
  <c r="AD109" i="3" s="1"/>
  <c r="AC110" i="3" s="1"/>
  <c r="AA90" i="3"/>
  <c r="Z91" i="3" s="1"/>
  <c r="R88" i="1"/>
  <c r="I90" i="3"/>
  <c r="P107" i="1" l="1"/>
  <c r="T109" i="3"/>
  <c r="S88" i="1"/>
  <c r="K90" i="3"/>
  <c r="U109" i="3" l="1"/>
  <c r="Q107" i="1"/>
  <c r="L90" i="3"/>
  <c r="O90" i="3" s="1"/>
  <c r="X90" i="3" s="1"/>
  <c r="M90" i="3"/>
  <c r="P110" i="3" l="1"/>
  <c r="W109" i="3"/>
  <c r="V90" i="3"/>
  <c r="N90" i="3"/>
  <c r="E91" i="3" s="1"/>
  <c r="D91" i="3"/>
  <c r="Q110" i="3" l="1"/>
  <c r="R110" i="3" s="1"/>
  <c r="AB110" i="3"/>
  <c r="Y91" i="3"/>
  <c r="F91" i="3"/>
  <c r="G91" i="3" s="1"/>
  <c r="T108" i="1" l="1"/>
  <c r="S110" i="3"/>
  <c r="U89" i="1"/>
  <c r="H91" i="3"/>
  <c r="I91" i="3" s="1"/>
  <c r="P108" i="1" l="1"/>
  <c r="T110" i="3"/>
  <c r="AD110" i="3"/>
  <c r="AC111" i="3" s="1"/>
  <c r="S89" i="1"/>
  <c r="K91" i="3"/>
  <c r="AA91" i="3"/>
  <c r="Z92" i="3" s="1"/>
  <c r="R89" i="1"/>
  <c r="Q108" i="1" l="1"/>
  <c r="U110" i="3"/>
  <c r="M91" i="3"/>
  <c r="L91" i="3"/>
  <c r="O91" i="3" s="1"/>
  <c r="X91" i="3" s="1"/>
  <c r="P111" i="3" l="1"/>
  <c r="W110" i="3"/>
  <c r="D92" i="3"/>
  <c r="N91" i="3"/>
  <c r="E92" i="3" s="1"/>
  <c r="V91" i="3"/>
  <c r="AB111" i="3" l="1"/>
  <c r="R111" i="3" s="1"/>
  <c r="Q111" i="3"/>
  <c r="Y92" i="3"/>
  <c r="F92" i="3"/>
  <c r="T109" i="1" l="1"/>
  <c r="S111" i="3"/>
  <c r="T111" i="3" s="1"/>
  <c r="G92" i="3"/>
  <c r="U111" i="3" l="1"/>
  <c r="Q109" i="1"/>
  <c r="AD111" i="3"/>
  <c r="AC112" i="3" s="1"/>
  <c r="P109" i="1"/>
  <c r="H92" i="3"/>
  <c r="U90" i="1"/>
  <c r="P112" i="3" l="1"/>
  <c r="W111" i="3"/>
  <c r="I92" i="3"/>
  <c r="AA92" i="3"/>
  <c r="Z93" i="3" s="1"/>
  <c r="R90" i="1"/>
  <c r="Q112" i="3" l="1"/>
  <c r="R112" i="3" s="1"/>
  <c r="AB112" i="3"/>
  <c r="S90" i="1"/>
  <c r="K92" i="3"/>
  <c r="T110" i="1" l="1"/>
  <c r="S112" i="3"/>
  <c r="M92" i="3"/>
  <c r="L92" i="3"/>
  <c r="O92" i="3" s="1"/>
  <c r="X92" i="3" s="1"/>
  <c r="P110" i="1" l="1"/>
  <c r="AD112" i="3"/>
  <c r="AC113" i="3" s="1"/>
  <c r="T112" i="3"/>
  <c r="N92" i="3"/>
  <c r="E93" i="3" s="1"/>
  <c r="D93" i="3"/>
  <c r="V92" i="3"/>
  <c r="Q110" i="1" l="1"/>
  <c r="U112" i="3"/>
  <c r="Y93" i="3"/>
  <c r="F93" i="3"/>
  <c r="G93" i="3" s="1"/>
  <c r="P113" i="3" l="1"/>
  <c r="W112" i="3"/>
  <c r="H93" i="3"/>
  <c r="I93" i="3" s="1"/>
  <c r="U91" i="1"/>
  <c r="AB113" i="3" l="1"/>
  <c r="Q113" i="3"/>
  <c r="R113" i="3" s="1"/>
  <c r="R91" i="1"/>
  <c r="AA93" i="3"/>
  <c r="Z94" i="3" s="1"/>
  <c r="S91" i="1"/>
  <c r="K93" i="3"/>
  <c r="S113" i="3" l="1"/>
  <c r="T113" i="3"/>
  <c r="T111" i="1"/>
  <c r="M93" i="3"/>
  <c r="L93" i="3"/>
  <c r="O93" i="3" s="1"/>
  <c r="X93" i="3" s="1"/>
  <c r="U113" i="3" l="1"/>
  <c r="Q111" i="1"/>
  <c r="P111" i="1"/>
  <c r="AD113" i="3"/>
  <c r="AC114" i="3" s="1"/>
  <c r="D94" i="3"/>
  <c r="V93" i="3"/>
  <c r="N93" i="3"/>
  <c r="E94" i="3" s="1"/>
  <c r="Y94" i="3"/>
  <c r="F94" i="3"/>
  <c r="G94" i="3" s="1"/>
  <c r="W113" i="3" l="1"/>
  <c r="P114" i="3"/>
  <c r="L15" i="1"/>
  <c r="H94" i="3"/>
  <c r="U92" i="1"/>
  <c r="AB114" i="3" l="1"/>
  <c r="Q114" i="3"/>
  <c r="R114" i="3" s="1"/>
  <c r="T112" i="1" s="1"/>
  <c r="R92" i="1"/>
  <c r="AA94" i="3"/>
  <c r="Z95" i="3" s="1"/>
  <c r="I94" i="3"/>
  <c r="AD114" i="3" l="1"/>
  <c r="AC115" i="3" s="1"/>
  <c r="S114" i="3"/>
  <c r="S92" i="1"/>
  <c r="K94" i="3"/>
  <c r="P112" i="1" l="1"/>
  <c r="T114" i="3"/>
  <c r="L94" i="3"/>
  <c r="O94" i="3" s="1"/>
  <c r="X94" i="3" s="1"/>
  <c r="M94" i="3"/>
  <c r="V94" i="3" s="1"/>
  <c r="U114" i="3" l="1"/>
  <c r="P115" i="3" s="1"/>
  <c r="W114" i="3"/>
  <c r="Q112" i="1"/>
  <c r="D95" i="3"/>
  <c r="N94" i="3"/>
  <c r="E95" i="3" s="1"/>
  <c r="AB115" i="3" l="1"/>
  <c r="Q115" i="3"/>
  <c r="R115" i="3" s="1"/>
  <c r="T113" i="1" s="1"/>
  <c r="F95" i="3"/>
  <c r="Y95" i="3"/>
  <c r="S115" i="3" l="1"/>
  <c r="AD115" i="3" s="1"/>
  <c r="AC116" i="3" s="1"/>
  <c r="G95" i="3"/>
  <c r="U93" i="1" s="1"/>
  <c r="H95" i="3"/>
  <c r="P113" i="1" l="1"/>
  <c r="T115" i="3"/>
  <c r="R93" i="1"/>
  <c r="I95" i="3"/>
  <c r="AA95" i="3"/>
  <c r="Z96" i="3" s="1"/>
  <c r="U115" i="3" l="1"/>
  <c r="P116" i="3" s="1"/>
  <c r="W115" i="3"/>
  <c r="Q113" i="1"/>
  <c r="S93" i="1"/>
  <c r="K95" i="3"/>
  <c r="AB116" i="3" l="1"/>
  <c r="Q116" i="3"/>
  <c r="R116" i="3" s="1"/>
  <c r="L95" i="3"/>
  <c r="O95" i="3" s="1"/>
  <c r="X95" i="3" s="1"/>
  <c r="M95" i="3"/>
  <c r="V95" i="3" s="1"/>
  <c r="S116" i="3" l="1"/>
  <c r="T116" i="3"/>
  <c r="T114" i="1"/>
  <c r="D96" i="3"/>
  <c r="N95" i="3"/>
  <c r="E96" i="3" s="1"/>
  <c r="U116" i="3" l="1"/>
  <c r="P117" i="3" s="1"/>
  <c r="W116" i="3"/>
  <c r="Q114" i="1"/>
  <c r="P114" i="1"/>
  <c r="AD116" i="3"/>
  <c r="AC117" i="3" s="1"/>
  <c r="Y96" i="3"/>
  <c r="F96" i="3"/>
  <c r="AB117" i="3" l="1"/>
  <c r="Q117" i="3"/>
  <c r="R117" i="3"/>
  <c r="G96" i="3"/>
  <c r="S117" i="3" l="1"/>
  <c r="T117" i="3"/>
  <c r="T115" i="1"/>
  <c r="H96" i="3"/>
  <c r="U94" i="1"/>
  <c r="R94" i="1"/>
  <c r="I96" i="3"/>
  <c r="AA96" i="3"/>
  <c r="Z97" i="3" s="1"/>
  <c r="U117" i="3" l="1"/>
  <c r="Q115" i="1"/>
  <c r="P115" i="1"/>
  <c r="AD117" i="3"/>
  <c r="AC118" i="3" s="1"/>
  <c r="S94" i="1"/>
  <c r="K96" i="3"/>
  <c r="W117" i="3" l="1"/>
  <c r="P118" i="3"/>
  <c r="L96" i="3"/>
  <c r="O96" i="3" s="1"/>
  <c r="X96" i="3" s="1"/>
  <c r="M96" i="3"/>
  <c r="AB118" i="3" l="1"/>
  <c r="Q118" i="3"/>
  <c r="R118" i="3" s="1"/>
  <c r="V96" i="3"/>
  <c r="D97" i="3"/>
  <c r="N96" i="3"/>
  <c r="E97" i="3" s="1"/>
  <c r="S118" i="3" l="1"/>
  <c r="T118" i="3" s="1"/>
  <c r="T116" i="1"/>
  <c r="Y97" i="3"/>
  <c r="F97" i="3"/>
  <c r="P116" i="1" l="1"/>
  <c r="AD118" i="3"/>
  <c r="AC119" i="3" s="1"/>
  <c r="U118" i="3"/>
  <c r="Q116" i="1"/>
  <c r="G97" i="3"/>
  <c r="P119" i="3" l="1"/>
  <c r="W118" i="3"/>
  <c r="U95" i="1"/>
  <c r="H97" i="3"/>
  <c r="I97" i="3" s="1"/>
  <c r="Q119" i="3"/>
  <c r="AB119" i="3"/>
  <c r="AA97" i="3" l="1"/>
  <c r="Z98" i="3" s="1"/>
  <c r="R95" i="1"/>
  <c r="S95" i="1"/>
  <c r="K97" i="3"/>
  <c r="R119" i="3"/>
  <c r="L97" i="3" l="1"/>
  <c r="O97" i="3" s="1"/>
  <c r="X97" i="3" s="1"/>
  <c r="M97" i="3"/>
  <c r="T117" i="1"/>
  <c r="S119" i="3"/>
  <c r="N97" i="3" l="1"/>
  <c r="E98" i="3" s="1"/>
  <c r="D98" i="3"/>
  <c r="V97" i="3"/>
  <c r="P117" i="1"/>
  <c r="T119" i="3"/>
  <c r="AD119" i="3"/>
  <c r="AC120" i="3" s="1"/>
  <c r="F98" i="3" l="1"/>
  <c r="G98" i="3" s="1"/>
  <c r="Y98" i="3"/>
  <c r="U119" i="3"/>
  <c r="Q117" i="1"/>
  <c r="U96" i="1" l="1"/>
  <c r="H98" i="3"/>
  <c r="P120" i="3"/>
  <c r="W119" i="3"/>
  <c r="R96" i="1" l="1"/>
  <c r="I98" i="3"/>
  <c r="AA98" i="3"/>
  <c r="Z99" i="3" s="1"/>
  <c r="Q120" i="3"/>
  <c r="R120" i="3" s="1"/>
  <c r="AB120" i="3"/>
  <c r="S96" i="1" l="1"/>
  <c r="K98" i="3"/>
  <c r="S120" i="3"/>
  <c r="T120" i="3" s="1"/>
  <c r="T118" i="1"/>
  <c r="M98" i="3" l="1"/>
  <c r="L98" i="3"/>
  <c r="O98" i="3" s="1"/>
  <c r="X98" i="3" s="1"/>
  <c r="AD120" i="3"/>
  <c r="AC121" i="3" s="1"/>
  <c r="P118" i="1"/>
  <c r="U120" i="3"/>
  <c r="Q118" i="1"/>
  <c r="V98" i="3" l="1"/>
  <c r="N98" i="3"/>
  <c r="E99" i="3" s="1"/>
  <c r="D99" i="3"/>
  <c r="W120" i="3"/>
  <c r="P121" i="3"/>
  <c r="Y99" i="3" l="1"/>
  <c r="F99" i="3"/>
  <c r="Q121" i="3"/>
  <c r="R121" i="3" s="1"/>
  <c r="AB121" i="3"/>
  <c r="G99" i="3" l="1"/>
  <c r="U97" i="1" s="1"/>
  <c r="H99" i="3"/>
  <c r="I99" i="3" s="1"/>
  <c r="S121" i="3"/>
  <c r="T121" i="3" s="1"/>
  <c r="T119" i="1"/>
  <c r="K99" i="3" l="1"/>
  <c r="S97" i="1"/>
  <c r="R97" i="1"/>
  <c r="AA99" i="3"/>
  <c r="Z100" i="3" s="1"/>
  <c r="P119" i="1"/>
  <c r="AD121" i="3"/>
  <c r="AC122" i="3" s="1"/>
  <c r="Q119" i="1"/>
  <c r="U121" i="3"/>
  <c r="L99" i="3" l="1"/>
  <c r="O99" i="3" s="1"/>
  <c r="X99" i="3" s="1"/>
  <c r="M99" i="3"/>
  <c r="V99" i="3" s="1"/>
  <c r="P122" i="3"/>
  <c r="W121" i="3"/>
  <c r="AB122" i="3" l="1"/>
  <c r="Q122" i="3"/>
  <c r="R122" i="3" s="1"/>
  <c r="T120" i="1" s="1"/>
  <c r="D100" i="3"/>
  <c r="N99" i="3"/>
  <c r="E100" i="3" s="1"/>
  <c r="S122" i="3" l="1"/>
  <c r="Y100" i="3"/>
  <c r="F100" i="3"/>
  <c r="T122" i="3" l="1"/>
  <c r="P120" i="1"/>
  <c r="AD122" i="3"/>
  <c r="AC123" i="3" s="1"/>
  <c r="G100" i="3"/>
  <c r="H100" i="3" s="1"/>
  <c r="Q120" i="1" l="1"/>
  <c r="U122" i="3"/>
  <c r="U98" i="1"/>
  <c r="I100" i="3"/>
  <c r="R98" i="1"/>
  <c r="AA100" i="3"/>
  <c r="Z101" i="3" s="1"/>
  <c r="W122" i="3" l="1"/>
  <c r="P123" i="3"/>
  <c r="K100" i="3"/>
  <c r="S98" i="1"/>
  <c r="Q123" i="3" l="1"/>
  <c r="AB123" i="3"/>
  <c r="M100" i="3"/>
  <c r="L100" i="3"/>
  <c r="O100" i="3" s="1"/>
  <c r="X100" i="3" s="1"/>
  <c r="V100" i="3" l="1"/>
  <c r="D101" i="3"/>
  <c r="N100" i="3"/>
  <c r="E101" i="3" s="1"/>
  <c r="R123" i="3"/>
  <c r="T121" i="1" l="1"/>
  <c r="S123" i="3"/>
  <c r="T123" i="3" s="1"/>
  <c r="F101" i="3"/>
  <c r="G101" i="3" s="1"/>
  <c r="U99" i="1" s="1"/>
  <c r="Y101" i="3"/>
  <c r="Q121" i="1" l="1"/>
  <c r="U123" i="3"/>
  <c r="AD123" i="3"/>
  <c r="AC124" i="3" s="1"/>
  <c r="P121" i="1"/>
  <c r="H101" i="3"/>
  <c r="AA101" i="3"/>
  <c r="Z102" i="3" s="1"/>
  <c r="W123" i="3" l="1"/>
  <c r="P124" i="3"/>
  <c r="R99" i="1"/>
  <c r="I101" i="3"/>
  <c r="Q124" i="3" l="1"/>
  <c r="AB124" i="3"/>
  <c r="R124" i="3" s="1"/>
  <c r="S99" i="1"/>
  <c r="K101" i="3"/>
  <c r="T122" i="1"/>
  <c r="S124" i="3"/>
  <c r="L101" i="3" l="1"/>
  <c r="O101" i="3" s="1"/>
  <c r="X101" i="3" s="1"/>
  <c r="M101" i="3"/>
  <c r="V101" i="3" s="1"/>
  <c r="P122" i="1"/>
  <c r="T124" i="3"/>
  <c r="AD124" i="3"/>
  <c r="AC125" i="3" s="1"/>
  <c r="M14" i="1" l="1"/>
  <c r="D102" i="3"/>
  <c r="N101" i="3"/>
  <c r="E102" i="3" s="1"/>
  <c r="Q122" i="1"/>
  <c r="U124" i="3"/>
  <c r="Y102" i="3" l="1"/>
  <c r="F102" i="3"/>
  <c r="G102" i="3" s="1"/>
  <c r="P125" i="3"/>
  <c r="W124" i="3"/>
  <c r="U100" i="1" l="1"/>
  <c r="H102" i="3"/>
  <c r="AB125" i="3"/>
  <c r="Q125" i="3"/>
  <c r="R125" i="3" s="1"/>
  <c r="T123" i="1" s="1"/>
  <c r="R100" i="1" l="1"/>
  <c r="I102" i="3"/>
  <c r="AA102" i="3"/>
  <c r="Z103" i="3" s="1"/>
  <c r="S100" i="1"/>
  <c r="K102" i="3"/>
  <c r="M102" i="3" s="1"/>
  <c r="S125" i="3"/>
  <c r="D103" i="3" l="1"/>
  <c r="N102" i="3"/>
  <c r="E103" i="3" s="1"/>
  <c r="V102" i="3"/>
  <c r="L102" i="3"/>
  <c r="O102" i="3" s="1"/>
  <c r="X102" i="3" s="1"/>
  <c r="P123" i="1"/>
  <c r="AD125" i="3"/>
  <c r="AC126" i="3" s="1"/>
  <c r="T125" i="3"/>
  <c r="F103" i="3" l="1"/>
  <c r="Y103" i="3"/>
  <c r="Q123" i="1"/>
  <c r="U125" i="3"/>
  <c r="P126" i="3" l="1"/>
  <c r="L16" i="1"/>
  <c r="W125" i="3"/>
  <c r="G103" i="3"/>
  <c r="U101" i="1" s="1"/>
  <c r="H103" i="3"/>
  <c r="AA103" i="3" s="1"/>
  <c r="Z104" i="3" s="1"/>
  <c r="Q126" i="3" l="1"/>
  <c r="R126" i="3" s="1"/>
  <c r="AB126" i="3"/>
  <c r="I103" i="3"/>
  <c r="R101" i="1"/>
  <c r="K103" i="3" l="1"/>
  <c r="S101" i="1"/>
  <c r="T124" i="1"/>
  <c r="S126" i="3"/>
  <c r="L103" i="3" l="1"/>
  <c r="O103" i="3" s="1"/>
  <c r="X103" i="3" s="1"/>
  <c r="M103" i="3"/>
  <c r="P124" i="1"/>
  <c r="T126" i="3"/>
  <c r="AD126" i="3"/>
  <c r="AC127" i="3" s="1"/>
  <c r="V103" i="3" l="1"/>
  <c r="N103" i="3"/>
  <c r="E104" i="3" s="1"/>
  <c r="D104" i="3"/>
  <c r="Q124" i="1"/>
  <c r="U126" i="3"/>
  <c r="P127" i="3" s="1"/>
  <c r="W126" i="3"/>
  <c r="Y104" i="3" l="1"/>
  <c r="F104" i="3"/>
  <c r="G104" i="3" s="1"/>
  <c r="U102" i="1" s="1"/>
  <c r="AB127" i="3"/>
  <c r="Q127" i="3"/>
  <c r="H104" i="3" l="1"/>
  <c r="R127" i="3"/>
  <c r="R102" i="1" l="1"/>
  <c r="I104" i="3"/>
  <c r="AA104" i="3"/>
  <c r="Z105" i="3" s="1"/>
  <c r="T125" i="1"/>
  <c r="S127" i="3"/>
  <c r="T127" i="3" s="1"/>
  <c r="K104" i="3" l="1"/>
  <c r="S102" i="1"/>
  <c r="AD127" i="3"/>
  <c r="AC128" i="3" s="1"/>
  <c r="P125" i="1"/>
  <c r="U127" i="3"/>
  <c r="Q125" i="1"/>
  <c r="M104" i="3" l="1"/>
  <c r="L104" i="3"/>
  <c r="O104" i="3" s="1"/>
  <c r="X104" i="3" s="1"/>
  <c r="W127" i="3"/>
  <c r="P128" i="3"/>
  <c r="V104" i="3" l="1"/>
  <c r="N104" i="3"/>
  <c r="E105" i="3" s="1"/>
  <c r="D105" i="3"/>
  <c r="AB128" i="3"/>
  <c r="Q128" i="3"/>
  <c r="Y105" i="3" l="1"/>
  <c r="F105" i="3"/>
  <c r="R128" i="3"/>
  <c r="G105" i="3" l="1"/>
  <c r="T126" i="1"/>
  <c r="S128" i="3"/>
  <c r="T128" i="3" s="1"/>
  <c r="U103" i="1" l="1"/>
  <c r="H105" i="3"/>
  <c r="P126" i="1"/>
  <c r="AD128" i="3"/>
  <c r="AC129" i="3" s="1"/>
  <c r="U128" i="3"/>
  <c r="Q126" i="1"/>
  <c r="P129" i="3"/>
  <c r="AB129" i="3" s="1"/>
  <c r="W128" i="3"/>
  <c r="Q129" i="3"/>
  <c r="I105" i="3" l="1"/>
  <c r="AA105" i="3"/>
  <c r="Z106" i="3" s="1"/>
  <c r="R103" i="1"/>
  <c r="R129" i="3"/>
  <c r="S129" i="3" s="1"/>
  <c r="S103" i="1" l="1"/>
  <c r="K105" i="3"/>
  <c r="M105" i="3" s="1"/>
  <c r="T129" i="3"/>
  <c r="T127" i="1"/>
  <c r="AD129" i="3"/>
  <c r="AC130" i="3" s="1"/>
  <c r="P127" i="1"/>
  <c r="D106" i="3" l="1"/>
  <c r="N105" i="3"/>
  <c r="E106" i="3" s="1"/>
  <c r="V105" i="3"/>
  <c r="L105" i="3"/>
  <c r="O105" i="3" s="1"/>
  <c r="X105" i="3" s="1"/>
  <c r="U129" i="3"/>
  <c r="Q127" i="1"/>
  <c r="Y106" i="3" l="1"/>
  <c r="F106" i="3"/>
  <c r="P130" i="3"/>
  <c r="W129" i="3"/>
  <c r="G106" i="3" l="1"/>
  <c r="AB130" i="3"/>
  <c r="Q130" i="3"/>
  <c r="R130" i="3" s="1"/>
  <c r="H106" i="3" l="1"/>
  <c r="U104" i="1"/>
  <c r="S130" i="3"/>
  <c r="T128" i="1"/>
  <c r="AA106" i="3" l="1"/>
  <c r="Z107" i="3" s="1"/>
  <c r="R104" i="1"/>
  <c r="I106" i="3"/>
  <c r="P128" i="1"/>
  <c r="T130" i="3"/>
  <c r="AD130" i="3"/>
  <c r="AC131" i="3" s="1"/>
  <c r="M106" i="3" l="1"/>
  <c r="V106" i="3"/>
  <c r="S104" i="1"/>
  <c r="K106" i="3"/>
  <c r="L106" i="3" s="1"/>
  <c r="O106" i="3" s="1"/>
  <c r="X106" i="3" s="1"/>
  <c r="Q128" i="1"/>
  <c r="U130" i="3"/>
  <c r="D107" i="3" l="1"/>
  <c r="N106" i="3"/>
  <c r="E107" i="3" s="1"/>
  <c r="P131" i="3"/>
  <c r="W130" i="3"/>
  <c r="Y107" i="3" l="1"/>
  <c r="F107" i="3"/>
  <c r="G107" i="3" s="1"/>
  <c r="U105" i="1" s="1"/>
  <c r="AB131" i="3"/>
  <c r="Q131" i="3"/>
  <c r="H107" i="3" l="1"/>
  <c r="R131" i="3"/>
  <c r="R105" i="1" l="1"/>
  <c r="AA107" i="3"/>
  <c r="Z108" i="3" s="1"/>
  <c r="I107" i="3"/>
  <c r="T129" i="1"/>
  <c r="S131" i="3"/>
  <c r="K107" i="3" l="1"/>
  <c r="M107" i="3" s="1"/>
  <c r="S105" i="1"/>
  <c r="AD131" i="3"/>
  <c r="AC132" i="3" s="1"/>
  <c r="P129" i="1"/>
  <c r="T131" i="3"/>
  <c r="D108" i="3" l="1"/>
  <c r="N107" i="3"/>
  <c r="E108" i="3" s="1"/>
  <c r="V107" i="3"/>
  <c r="L107" i="3"/>
  <c r="O107" i="3" s="1"/>
  <c r="X107" i="3" s="1"/>
  <c r="U131" i="3"/>
  <c r="Q129" i="1"/>
  <c r="P132" i="3"/>
  <c r="W131" i="3"/>
  <c r="F108" i="3" l="1"/>
  <c r="Y108" i="3"/>
  <c r="Q132" i="3"/>
  <c r="R132" i="3" s="1"/>
  <c r="AB132" i="3"/>
  <c r="G108" i="3" l="1"/>
  <c r="T130" i="1"/>
  <c r="S132" i="3"/>
  <c r="T132" i="3" s="1"/>
  <c r="H108" i="3" l="1"/>
  <c r="U106" i="1"/>
  <c r="U132" i="3"/>
  <c r="Q130" i="1"/>
  <c r="AD132" i="3"/>
  <c r="AC133" i="3" s="1"/>
  <c r="P130" i="1"/>
  <c r="AA108" i="3" l="1"/>
  <c r="Z109" i="3" s="1"/>
  <c r="R106" i="1"/>
  <c r="I108" i="3"/>
  <c r="P133" i="3"/>
  <c r="W132" i="3"/>
  <c r="S106" i="1" l="1"/>
  <c r="K108" i="3"/>
  <c r="AB133" i="3"/>
  <c r="Q133" i="3"/>
  <c r="R133" i="3" s="1"/>
  <c r="L108" i="3" l="1"/>
  <c r="O108" i="3" s="1"/>
  <c r="X108" i="3" s="1"/>
  <c r="M108" i="3"/>
  <c r="V108" i="3" s="1"/>
  <c r="T131" i="1"/>
  <c r="S133" i="3"/>
  <c r="T133" i="3" s="1"/>
  <c r="D109" i="3" l="1"/>
  <c r="N108" i="3"/>
  <c r="E109" i="3" s="1"/>
  <c r="U133" i="3"/>
  <c r="Q131" i="1"/>
  <c r="P131" i="1"/>
  <c r="AD133" i="3"/>
  <c r="AC134" i="3" s="1"/>
  <c r="F109" i="3" l="1"/>
  <c r="Y109" i="3"/>
  <c r="P134" i="3"/>
  <c r="W133" i="3"/>
  <c r="G109" i="3" l="1"/>
  <c r="AB134" i="3"/>
  <c r="Q134" i="3"/>
  <c r="R134" i="3" s="1"/>
  <c r="H109" i="3" l="1"/>
  <c r="I109" i="3"/>
  <c r="U107" i="1"/>
  <c r="T132" i="1"/>
  <c r="S134" i="3"/>
  <c r="AD134" i="3" s="1"/>
  <c r="AC135" i="3" s="1"/>
  <c r="P132" i="1"/>
  <c r="T134" i="3"/>
  <c r="AA109" i="3" l="1"/>
  <c r="Z110" i="3" s="1"/>
  <c r="R107" i="1"/>
  <c r="S107" i="1"/>
  <c r="K109" i="3"/>
  <c r="U134" i="3"/>
  <c r="Q132" i="1"/>
  <c r="L109" i="3" l="1"/>
  <c r="O109" i="3" s="1"/>
  <c r="X109" i="3" s="1"/>
  <c r="M109" i="3"/>
  <c r="V109" i="3" s="1"/>
  <c r="P135" i="3"/>
  <c r="W134" i="3"/>
  <c r="N109" i="3" l="1"/>
  <c r="E110" i="3" s="1"/>
  <c r="D110" i="3"/>
  <c r="AB135" i="3"/>
  <c r="Q135" i="3"/>
  <c r="R135" i="3" s="1"/>
  <c r="F110" i="3" l="1"/>
  <c r="G110" i="3" s="1"/>
  <c r="U108" i="1" s="1"/>
  <c r="Y110" i="3"/>
  <c r="T133" i="1"/>
  <c r="S135" i="3"/>
  <c r="T135" i="3" s="1"/>
  <c r="H110" i="3" l="1"/>
  <c r="AA110" i="3" s="1"/>
  <c r="Z111" i="3" s="1"/>
  <c r="Q133" i="1"/>
  <c r="U135" i="3"/>
  <c r="AD135" i="3"/>
  <c r="AC136" i="3" s="1"/>
  <c r="P133" i="1"/>
  <c r="R108" i="1" l="1"/>
  <c r="I110" i="3"/>
  <c r="P136" i="3"/>
  <c r="W135" i="3"/>
  <c r="S108" i="1" l="1"/>
  <c r="K110" i="3"/>
  <c r="AB136" i="3"/>
  <c r="Q136" i="3"/>
  <c r="R136" i="3" s="1"/>
  <c r="L110" i="3" l="1"/>
  <c r="O110" i="3" s="1"/>
  <c r="X110" i="3" s="1"/>
  <c r="M110" i="3"/>
  <c r="V110" i="3" s="1"/>
  <c r="T134" i="1"/>
  <c r="S136" i="3"/>
  <c r="T136" i="3" s="1"/>
  <c r="N110" i="3" l="1"/>
  <c r="E111" i="3" s="1"/>
  <c r="D111" i="3"/>
  <c r="Q134" i="1"/>
  <c r="U136" i="3"/>
  <c r="AD136" i="3"/>
  <c r="AC137" i="3" s="1"/>
  <c r="P134" i="1"/>
  <c r="F111" i="3" l="1"/>
  <c r="G111" i="3" s="1"/>
  <c r="Y111" i="3"/>
  <c r="W136" i="3"/>
  <c r="P137" i="3"/>
  <c r="U109" i="1" l="1"/>
  <c r="H111" i="3"/>
  <c r="AB137" i="3"/>
  <c r="Q137" i="3"/>
  <c r="R109" i="1" l="1"/>
  <c r="I111" i="3"/>
  <c r="AA111" i="3"/>
  <c r="Z112" i="3" s="1"/>
  <c r="R137" i="3"/>
  <c r="S109" i="1" l="1"/>
  <c r="K111" i="3"/>
  <c r="T135" i="1"/>
  <c r="S137" i="3"/>
  <c r="L111" i="3" l="1"/>
  <c r="O111" i="3" s="1"/>
  <c r="X111" i="3" s="1"/>
  <c r="M111" i="3"/>
  <c r="AD137" i="3"/>
  <c r="AC138" i="3" s="1"/>
  <c r="P135" i="1"/>
  <c r="T137" i="3"/>
  <c r="V111" i="3" l="1"/>
  <c r="N111" i="3"/>
  <c r="E112" i="3" s="1"/>
  <c r="D112" i="3"/>
  <c r="U137" i="3"/>
  <c r="W137" i="3" s="1"/>
  <c r="Q135" i="1"/>
  <c r="F112" i="3" l="1"/>
  <c r="G112" i="3" s="1"/>
  <c r="Y112" i="3"/>
  <c r="L17" i="1"/>
  <c r="P138" i="3"/>
  <c r="U110" i="1" l="1"/>
  <c r="H112" i="3"/>
  <c r="Q138" i="3"/>
  <c r="AB138" i="3"/>
  <c r="R138" i="3" l="1"/>
  <c r="R110" i="1"/>
  <c r="I112" i="3"/>
  <c r="AA112" i="3"/>
  <c r="Z113" i="3" s="1"/>
  <c r="S110" i="1" l="1"/>
  <c r="M112" i="3"/>
  <c r="V112" i="3"/>
  <c r="K112" i="3"/>
  <c r="L112" i="3" s="1"/>
  <c r="O112" i="3" s="1"/>
  <c r="X112" i="3" s="1"/>
  <c r="T136" i="1"/>
  <c r="S138" i="3"/>
  <c r="T138" i="3" s="1"/>
  <c r="Q136" i="1"/>
  <c r="U138" i="3"/>
  <c r="AD138" i="3"/>
  <c r="AC139" i="3" s="1"/>
  <c r="P136" i="1"/>
  <c r="N112" i="3" l="1"/>
  <c r="E113" i="3" s="1"/>
  <c r="D113" i="3"/>
  <c r="W138" i="3"/>
  <c r="P139" i="3"/>
  <c r="F113" i="3" l="1"/>
  <c r="G113" i="3" s="1"/>
  <c r="Y113" i="3"/>
  <c r="H113" i="3" s="1"/>
  <c r="AB139" i="3"/>
  <c r="Q139" i="3"/>
  <c r="I113" i="3" l="1"/>
  <c r="U111" i="1"/>
  <c r="R111" i="1"/>
  <c r="AA113" i="3"/>
  <c r="Z114" i="3" s="1"/>
  <c r="R139" i="3"/>
  <c r="T137" i="1" s="1"/>
  <c r="S139" i="3"/>
  <c r="T139" i="3" s="1"/>
  <c r="M113" i="3" l="1"/>
  <c r="K113" i="3"/>
  <c r="L113" i="3" s="1"/>
  <c r="O113" i="3" s="1"/>
  <c r="X113" i="3" s="1"/>
  <c r="S111" i="1"/>
  <c r="U139" i="3"/>
  <c r="Q137" i="1"/>
  <c r="P137" i="1"/>
  <c r="AD139" i="3"/>
  <c r="AC140" i="3" s="1"/>
  <c r="N113" i="3" l="1"/>
  <c r="E114" i="3" s="1"/>
  <c r="D114" i="3"/>
  <c r="M15" i="1"/>
  <c r="V113" i="3"/>
  <c r="P140" i="3"/>
  <c r="AB140" i="3" s="1"/>
  <c r="W139" i="3"/>
  <c r="Q140" i="3"/>
  <c r="F114" i="3" l="1"/>
  <c r="Y114" i="3"/>
  <c r="G114" i="3" s="1"/>
  <c r="U112" i="1" s="1"/>
  <c r="R140" i="3"/>
  <c r="H114" i="3"/>
  <c r="I114" i="3" s="1"/>
  <c r="T138" i="1" l="1"/>
  <c r="S140" i="3"/>
  <c r="R112" i="1"/>
  <c r="AA114" i="3"/>
  <c r="Z115" i="3" s="1"/>
  <c r="K114" i="3"/>
  <c r="S112" i="1"/>
  <c r="T140" i="3" l="1"/>
  <c r="P138" i="1"/>
  <c r="AD140" i="3"/>
  <c r="AC141" i="3" s="1"/>
  <c r="L114" i="3"/>
  <c r="O114" i="3" s="1"/>
  <c r="X114" i="3" s="1"/>
  <c r="M114" i="3"/>
  <c r="D115" i="3" s="1"/>
  <c r="U140" i="3" l="1"/>
  <c r="Q138" i="1"/>
  <c r="V114" i="3"/>
  <c r="N114" i="3"/>
  <c r="E115" i="3" s="1"/>
  <c r="F115" i="3"/>
  <c r="Y115" i="3"/>
  <c r="G115" i="3" l="1"/>
  <c r="P141" i="3"/>
  <c r="W140" i="3"/>
  <c r="Q141" i="3" l="1"/>
  <c r="R141" i="3" s="1"/>
  <c r="T139" i="1" s="1"/>
  <c r="AB141" i="3"/>
  <c r="H115" i="3"/>
  <c r="AA115" i="3" s="1"/>
  <c r="Z116" i="3" s="1"/>
  <c r="U113" i="1"/>
  <c r="S141" i="3" l="1"/>
  <c r="AD141" i="3" s="1"/>
  <c r="AC142" i="3" s="1"/>
  <c r="I115" i="3"/>
  <c r="R113" i="1"/>
  <c r="S113" i="1" l="1"/>
  <c r="K115" i="3"/>
  <c r="P139" i="1"/>
  <c r="T141" i="3"/>
  <c r="L115" i="3" l="1"/>
  <c r="O115" i="3" s="1"/>
  <c r="X115" i="3" s="1"/>
  <c r="M115" i="3"/>
  <c r="V115" i="3" s="1"/>
  <c r="U141" i="3"/>
  <c r="Q139" i="1"/>
  <c r="N115" i="3" l="1"/>
  <c r="E116" i="3" s="1"/>
  <c r="D116" i="3"/>
  <c r="P142" i="3"/>
  <c r="AB142" i="3" s="1"/>
  <c r="W141" i="3"/>
  <c r="Q142" i="3"/>
  <c r="Y116" i="3" l="1"/>
  <c r="F116" i="3"/>
  <c r="R142" i="3"/>
  <c r="S142" i="3" s="1"/>
  <c r="G116" i="3" l="1"/>
  <c r="T142" i="3"/>
  <c r="T140" i="1"/>
  <c r="P140" i="1"/>
  <c r="AD142" i="3"/>
  <c r="AC143" i="3" s="1"/>
  <c r="H116" i="3" l="1"/>
  <c r="R114" i="1" s="1"/>
  <c r="U114" i="1"/>
  <c r="U142" i="3"/>
  <c r="Q140" i="1"/>
  <c r="I116" i="3" l="1"/>
  <c r="AA116" i="3"/>
  <c r="P143" i="3"/>
  <c r="W142" i="3"/>
  <c r="S114" i="1" l="1"/>
  <c r="K116" i="3"/>
  <c r="Z117" i="3"/>
  <c r="AB143" i="3"/>
  <c r="Q143" i="3"/>
  <c r="R143" i="3" s="1"/>
  <c r="L116" i="3" l="1"/>
  <c r="O116" i="3" s="1"/>
  <c r="X116" i="3" s="1"/>
  <c r="M116" i="3"/>
  <c r="V116" i="3" s="1"/>
  <c r="T141" i="1"/>
  <c r="S143" i="3"/>
  <c r="N116" i="3" l="1"/>
  <c r="E117" i="3" s="1"/>
  <c r="D117" i="3"/>
  <c r="P141" i="1"/>
  <c r="T143" i="3"/>
  <c r="AD143" i="3"/>
  <c r="AC144" i="3" s="1"/>
  <c r="Q141" i="1" l="1"/>
  <c r="U143" i="3"/>
  <c r="P144" i="3" s="1"/>
  <c r="F117" i="3"/>
  <c r="Y117" i="3"/>
  <c r="W143" i="3"/>
  <c r="G117" i="3" l="1"/>
  <c r="Q144" i="3"/>
  <c r="AB144" i="3"/>
  <c r="R144" i="3" l="1"/>
  <c r="H117" i="3"/>
  <c r="U115" i="1"/>
  <c r="T142" i="1"/>
  <c r="S144" i="3"/>
  <c r="T144" i="3" s="1"/>
  <c r="AA117" i="3" l="1"/>
  <c r="Z118" i="3" s="1"/>
  <c r="R115" i="1"/>
  <c r="I117" i="3"/>
  <c r="U144" i="3"/>
  <c r="Q142" i="1"/>
  <c r="AD144" i="3"/>
  <c r="AC145" i="3" s="1"/>
  <c r="P142" i="1"/>
  <c r="S115" i="1" l="1"/>
  <c r="K117" i="3"/>
  <c r="P145" i="3"/>
  <c r="W144" i="3"/>
  <c r="M117" i="3" l="1"/>
  <c r="L117" i="3"/>
  <c r="O117" i="3" s="1"/>
  <c r="X117" i="3" s="1"/>
  <c r="AB145" i="3"/>
  <c r="Q145" i="3"/>
  <c r="R145" i="3" s="1"/>
  <c r="N117" i="3" l="1"/>
  <c r="E118" i="3" s="1"/>
  <c r="D118" i="3"/>
  <c r="V117" i="3"/>
  <c r="T143" i="1"/>
  <c r="S145" i="3"/>
  <c r="F118" i="3" l="1"/>
  <c r="G118" i="3" s="1"/>
  <c r="U116" i="1" s="1"/>
  <c r="Y118" i="3"/>
  <c r="P143" i="1"/>
  <c r="T145" i="3"/>
  <c r="AD145" i="3"/>
  <c r="AC146" i="3" s="1"/>
  <c r="H118" i="3" l="1"/>
  <c r="Q143" i="1"/>
  <c r="U145" i="3"/>
  <c r="AA118" i="3" l="1"/>
  <c r="Z119" i="3" s="1"/>
  <c r="R116" i="1"/>
  <c r="I118" i="3"/>
  <c r="P146" i="3"/>
  <c r="W145" i="3"/>
  <c r="S116" i="1" l="1"/>
  <c r="K118" i="3"/>
  <c r="AB146" i="3"/>
  <c r="Q146" i="3"/>
  <c r="R146" i="3" s="1"/>
  <c r="T144" i="1" s="1"/>
  <c r="L118" i="3" l="1"/>
  <c r="O118" i="3" s="1"/>
  <c r="X118" i="3" s="1"/>
  <c r="M118" i="3"/>
  <c r="S146" i="3"/>
  <c r="AD146" i="3" s="1"/>
  <c r="AC147" i="3" s="1"/>
  <c r="V118" i="3" l="1"/>
  <c r="N118" i="3"/>
  <c r="E119" i="3" s="1"/>
  <c r="D119" i="3"/>
  <c r="P144" i="1"/>
  <c r="T146" i="3"/>
  <c r="Y119" i="3" l="1"/>
  <c r="F119" i="3"/>
  <c r="G119" i="3" s="1"/>
  <c r="U146" i="3"/>
  <c r="Q144" i="1"/>
  <c r="H119" i="3" l="1"/>
  <c r="U117" i="1"/>
  <c r="P147" i="3"/>
  <c r="W146" i="3"/>
  <c r="R117" i="1" l="1"/>
  <c r="I119" i="3"/>
  <c r="AA119" i="3"/>
  <c r="Z120" i="3" s="1"/>
  <c r="Q147" i="3"/>
  <c r="AB147" i="3"/>
  <c r="S117" i="1" l="1"/>
  <c r="K119" i="3"/>
  <c r="M119" i="3" s="1"/>
  <c r="R147" i="3"/>
  <c r="V119" i="3" l="1"/>
  <c r="L119" i="3"/>
  <c r="O119" i="3" s="1"/>
  <c r="X119" i="3" s="1"/>
  <c r="D120" i="3"/>
  <c r="N119" i="3"/>
  <c r="E120" i="3" s="1"/>
  <c r="S147" i="3"/>
  <c r="T145" i="1"/>
  <c r="F120" i="3" l="1"/>
  <c r="Y120" i="3"/>
  <c r="T147" i="3"/>
  <c r="AD147" i="3"/>
  <c r="AC148" i="3" s="1"/>
  <c r="P145" i="1"/>
  <c r="G120" i="3" l="1"/>
  <c r="Q145" i="1"/>
  <c r="U147" i="3"/>
  <c r="H120" i="3" l="1"/>
  <c r="U118" i="1"/>
  <c r="W147" i="3"/>
  <c r="P148" i="3"/>
  <c r="I120" i="3" l="1"/>
  <c r="R118" i="1"/>
  <c r="AA120" i="3"/>
  <c r="Z121" i="3" s="1"/>
  <c r="AB148" i="3"/>
  <c r="Q148" i="3"/>
  <c r="S118" i="1" l="1"/>
  <c r="K120" i="3"/>
  <c r="R148" i="3"/>
  <c r="M120" i="3" l="1"/>
  <c r="L120" i="3"/>
  <c r="O120" i="3" s="1"/>
  <c r="X120" i="3" s="1"/>
  <c r="T146" i="1"/>
  <c r="S148" i="3"/>
  <c r="D121" i="3" l="1"/>
  <c r="N120" i="3"/>
  <c r="E121" i="3" s="1"/>
  <c r="V120" i="3"/>
  <c r="AD148" i="3"/>
  <c r="AC149" i="3" s="1"/>
  <c r="T148" i="3"/>
  <c r="P146" i="1"/>
  <c r="Y121" i="3" l="1"/>
  <c r="F121" i="3"/>
  <c r="Q146" i="1"/>
  <c r="U148" i="3"/>
  <c r="G121" i="3" l="1"/>
  <c r="P149" i="3"/>
  <c r="AB149" i="3" s="1"/>
  <c r="W148" i="3"/>
  <c r="Q149" i="3"/>
  <c r="H121" i="3" l="1"/>
  <c r="I121" i="3" s="1"/>
  <c r="U119" i="1"/>
  <c r="R149" i="3"/>
  <c r="K121" i="3" l="1"/>
  <c r="S119" i="1"/>
  <c r="AA121" i="3"/>
  <c r="Z122" i="3" s="1"/>
  <c r="R119" i="1"/>
  <c r="S149" i="3"/>
  <c r="T147" i="1"/>
  <c r="M121" i="3" l="1"/>
  <c r="L121" i="3"/>
  <c r="O121" i="3" s="1"/>
  <c r="X121" i="3" s="1"/>
  <c r="T149" i="3"/>
  <c r="AD149" i="3"/>
  <c r="AC150" i="3" s="1"/>
  <c r="P147" i="1"/>
  <c r="V121" i="3" l="1"/>
  <c r="D122" i="3"/>
  <c r="N121" i="3"/>
  <c r="E122" i="3" s="1"/>
  <c r="Q147" i="1"/>
  <c r="U149" i="3"/>
  <c r="Y122" i="3" l="1"/>
  <c r="F122" i="3"/>
  <c r="L18" i="1"/>
  <c r="P150" i="3"/>
  <c r="W149" i="3"/>
  <c r="AB150" i="3" l="1"/>
  <c r="Q150" i="3"/>
  <c r="G122" i="3"/>
  <c r="U120" i="1" l="1"/>
  <c r="H122" i="3"/>
  <c r="R150" i="3"/>
  <c r="I122" i="3" l="1"/>
  <c r="R120" i="1"/>
  <c r="AA122" i="3"/>
  <c r="Z123" i="3" s="1"/>
  <c r="S150" i="3"/>
  <c r="T148" i="1"/>
  <c r="K122" i="3" l="1"/>
  <c r="M122" i="3" s="1"/>
  <c r="V122" i="3" s="1"/>
  <c r="S120" i="1"/>
  <c r="T150" i="3"/>
  <c r="AD150" i="3"/>
  <c r="AC151" i="3" s="1"/>
  <c r="P148" i="1"/>
  <c r="L122" i="3"/>
  <c r="O122" i="3" s="1"/>
  <c r="X122" i="3" s="1"/>
  <c r="Q148" i="1" l="1"/>
  <c r="U150" i="3"/>
  <c r="N122" i="3"/>
  <c r="E123" i="3" s="1"/>
  <c r="D123" i="3"/>
  <c r="F123" i="3" l="1"/>
  <c r="Y123" i="3"/>
  <c r="P151" i="3"/>
  <c r="W150" i="3"/>
  <c r="Q151" i="3" l="1"/>
  <c r="R151" i="3" s="1"/>
  <c r="AB151" i="3"/>
  <c r="G123" i="3"/>
  <c r="T149" i="1" l="1"/>
  <c r="H123" i="3"/>
  <c r="U121" i="1"/>
  <c r="S151" i="3"/>
  <c r="T151" i="3" s="1"/>
  <c r="U151" i="3" l="1"/>
  <c r="Q149" i="1"/>
  <c r="R121" i="1"/>
  <c r="AA123" i="3"/>
  <c r="Z124" i="3" s="1"/>
  <c r="I123" i="3"/>
  <c r="AD151" i="3"/>
  <c r="AC152" i="3" s="1"/>
  <c r="P149" i="1"/>
  <c r="W151" i="3" l="1"/>
  <c r="P152" i="3"/>
  <c r="S121" i="1"/>
  <c r="K123" i="3"/>
  <c r="M123" i="3" s="1"/>
  <c r="AB152" i="3" l="1"/>
  <c r="Q152" i="3"/>
  <c r="R152" i="3" s="1"/>
  <c r="T150" i="1" s="1"/>
  <c r="D124" i="3"/>
  <c r="N123" i="3"/>
  <c r="E124" i="3" s="1"/>
  <c r="V123" i="3"/>
  <c r="L123" i="3"/>
  <c r="O123" i="3" s="1"/>
  <c r="X123" i="3" s="1"/>
  <c r="F124" i="3" l="1"/>
  <c r="G124" i="3" s="1"/>
  <c r="U122" i="1" s="1"/>
  <c r="Y124" i="3"/>
  <c r="S152" i="3"/>
  <c r="P150" i="1" l="1"/>
  <c r="AD152" i="3"/>
  <c r="AC153" i="3" s="1"/>
  <c r="T152" i="3"/>
  <c r="H124" i="3"/>
  <c r="U152" i="3" l="1"/>
  <c r="Q150" i="1"/>
  <c r="AA124" i="3"/>
  <c r="Z125" i="3" s="1"/>
  <c r="R122" i="1"/>
  <c r="I124" i="3"/>
  <c r="K124" i="3" l="1"/>
  <c r="M124" i="3" s="1"/>
  <c r="S122" i="1"/>
  <c r="P153" i="3"/>
  <c r="W152" i="3"/>
  <c r="D125" i="3" l="1"/>
  <c r="N124" i="3"/>
  <c r="E125" i="3" s="1"/>
  <c r="V124" i="3"/>
  <c r="L124" i="3"/>
  <c r="O124" i="3" s="1"/>
  <c r="X124" i="3" s="1"/>
  <c r="AB153" i="3"/>
  <c r="Q153" i="3"/>
  <c r="R153" i="3" s="1"/>
  <c r="F125" i="3" l="1"/>
  <c r="G125" i="3" s="1"/>
  <c r="U123" i="1" s="1"/>
  <c r="Y125" i="3"/>
  <c r="S153" i="3"/>
  <c r="T151" i="1"/>
  <c r="H125" i="3" l="1"/>
  <c r="AA125" i="3" s="1"/>
  <c r="Z126" i="3" s="1"/>
  <c r="I125" i="3"/>
  <c r="R123" i="1"/>
  <c r="P151" i="1"/>
  <c r="AD153" i="3"/>
  <c r="AC154" i="3" s="1"/>
  <c r="T153" i="3"/>
  <c r="S123" i="1" l="1"/>
  <c r="K125" i="3"/>
  <c r="Q151" i="1"/>
  <c r="U153" i="3"/>
  <c r="M125" i="3" l="1"/>
  <c r="L125" i="3"/>
  <c r="O125" i="3" s="1"/>
  <c r="X125" i="3" s="1"/>
  <c r="P154" i="3"/>
  <c r="W153" i="3"/>
  <c r="V125" i="3" l="1"/>
  <c r="N125" i="3"/>
  <c r="E126" i="3" s="1"/>
  <c r="F126" i="3" s="1"/>
  <c r="D126" i="3"/>
  <c r="M16" i="1"/>
  <c r="AB154" i="3"/>
  <c r="R154" i="3" s="1"/>
  <c r="Q154" i="3"/>
  <c r="Y126" i="3" l="1"/>
  <c r="G126" i="3" s="1"/>
  <c r="T152" i="1"/>
  <c r="S154" i="3"/>
  <c r="U124" i="1" l="1"/>
  <c r="H126" i="3"/>
  <c r="P152" i="1"/>
  <c r="AD154" i="3"/>
  <c r="AC155" i="3" s="1"/>
  <c r="T154" i="3"/>
  <c r="R124" i="1" l="1"/>
  <c r="I126" i="3"/>
  <c r="AA126" i="3"/>
  <c r="Z127" i="3" s="1"/>
  <c r="Q152" i="1"/>
  <c r="U154" i="3"/>
  <c r="S124" i="1" l="1"/>
  <c r="K126" i="3"/>
  <c r="M126" i="3" s="1"/>
  <c r="P155" i="3"/>
  <c r="W154" i="3"/>
  <c r="V126" i="3" l="1"/>
  <c r="L126" i="3"/>
  <c r="O126" i="3" s="1"/>
  <c r="X126" i="3" s="1"/>
  <c r="D127" i="3"/>
  <c r="N126" i="3"/>
  <c r="E127" i="3" s="1"/>
  <c r="Q155" i="3"/>
  <c r="R155" i="3" s="1"/>
  <c r="AB155" i="3"/>
  <c r="Y127" i="3" l="1"/>
  <c r="F127" i="3"/>
  <c r="T153" i="1"/>
  <c r="S155" i="3"/>
  <c r="T155" i="3" s="1"/>
  <c r="G127" i="3" l="1"/>
  <c r="U155" i="3"/>
  <c r="P156" i="3" s="1"/>
  <c r="W155" i="3"/>
  <c r="Q153" i="1"/>
  <c r="AD155" i="3"/>
  <c r="AC156" i="3" s="1"/>
  <c r="P153" i="1"/>
  <c r="H127" i="3" l="1"/>
  <c r="U125" i="1"/>
  <c r="AB156" i="3"/>
  <c r="Q156" i="3"/>
  <c r="R156" i="3" s="1"/>
  <c r="T154" i="1" s="1"/>
  <c r="AA127" i="3" l="1"/>
  <c r="Z128" i="3" s="1"/>
  <c r="R125" i="1"/>
  <c r="I127" i="3"/>
  <c r="S156" i="3"/>
  <c r="AD156" i="3" s="1"/>
  <c r="AC157" i="3" s="1"/>
  <c r="K127" i="3" l="1"/>
  <c r="S125" i="1"/>
  <c r="P154" i="1"/>
  <c r="T156" i="3"/>
  <c r="L127" i="3" l="1"/>
  <c r="O127" i="3" s="1"/>
  <c r="X127" i="3" s="1"/>
  <c r="M127" i="3"/>
  <c r="U156" i="3"/>
  <c r="Q154" i="1"/>
  <c r="V127" i="3" l="1"/>
  <c r="D128" i="3"/>
  <c r="N127" i="3"/>
  <c r="E128" i="3" s="1"/>
  <c r="P157" i="3"/>
  <c r="W156" i="3"/>
  <c r="F128" i="3" l="1"/>
  <c r="G128" i="3" s="1"/>
  <c r="Y128" i="3"/>
  <c r="Q157" i="3"/>
  <c r="R157" i="3" s="1"/>
  <c r="T155" i="1" s="1"/>
  <c r="AB157" i="3"/>
  <c r="U126" i="1" l="1"/>
  <c r="H128" i="3"/>
  <c r="S157" i="3"/>
  <c r="AD157" i="3" s="1"/>
  <c r="AC158" i="3" s="1"/>
  <c r="R126" i="1" l="1"/>
  <c r="I128" i="3"/>
  <c r="AA128" i="3"/>
  <c r="Z129" i="3" s="1"/>
  <c r="P155" i="1"/>
  <c r="T157" i="3"/>
  <c r="S126" i="1" l="1"/>
  <c r="K128" i="3"/>
  <c r="Q155" i="1"/>
  <c r="U157" i="3"/>
  <c r="L128" i="3" l="1"/>
  <c r="O128" i="3" s="1"/>
  <c r="X128" i="3" s="1"/>
  <c r="M128" i="3"/>
  <c r="N128" i="3"/>
  <c r="E129" i="3" s="1"/>
  <c r="P158" i="3"/>
  <c r="W157" i="3"/>
  <c r="V128" i="3" l="1"/>
  <c r="D129" i="3"/>
  <c r="F129" i="3"/>
  <c r="Y129" i="3"/>
  <c r="AB158" i="3"/>
  <c r="Q158" i="3"/>
  <c r="R158" i="3" s="1"/>
  <c r="G129" i="3" l="1"/>
  <c r="T156" i="1"/>
  <c r="S158" i="3"/>
  <c r="H129" i="3" l="1"/>
  <c r="I129" i="3" s="1"/>
  <c r="U127" i="1"/>
  <c r="P156" i="1"/>
  <c r="T158" i="3"/>
  <c r="AD158" i="3"/>
  <c r="AC159" i="3" s="1"/>
  <c r="K129" i="3" l="1"/>
  <c r="S127" i="1"/>
  <c r="AA129" i="3"/>
  <c r="Z130" i="3" s="1"/>
  <c r="R127" i="1"/>
  <c r="U158" i="3"/>
  <c r="Q156" i="1"/>
  <c r="M129" i="3" l="1"/>
  <c r="L129" i="3"/>
  <c r="O129" i="3" s="1"/>
  <c r="X129" i="3" s="1"/>
  <c r="P159" i="3"/>
  <c r="W158" i="3"/>
  <c r="AB159" i="3"/>
  <c r="Q159" i="3"/>
  <c r="R159" i="3" s="1"/>
  <c r="V129" i="3" l="1"/>
  <c r="N129" i="3"/>
  <c r="E130" i="3" s="1"/>
  <c r="D130" i="3"/>
  <c r="S159" i="3"/>
  <c r="T159" i="3"/>
  <c r="T157" i="1"/>
  <c r="F130" i="3" l="1"/>
  <c r="G130" i="3" s="1"/>
  <c r="Y130" i="3"/>
  <c r="U159" i="3"/>
  <c r="Q157" i="1"/>
  <c r="P157" i="1"/>
  <c r="AD159" i="3"/>
  <c r="AC160" i="3" s="1"/>
  <c r="H130" i="3" l="1"/>
  <c r="I130" i="3" s="1"/>
  <c r="U128" i="1"/>
  <c r="P160" i="3"/>
  <c r="W159" i="3"/>
  <c r="Q160" i="3"/>
  <c r="AB160" i="3"/>
  <c r="R160" i="3" l="1"/>
  <c r="AA130" i="3"/>
  <c r="Z131" i="3" s="1"/>
  <c r="R128" i="1"/>
  <c r="S128" i="1"/>
  <c r="K130" i="3"/>
  <c r="S160" i="3"/>
  <c r="T158" i="1"/>
  <c r="L130" i="3" l="1"/>
  <c r="O130" i="3" s="1"/>
  <c r="X130" i="3" s="1"/>
  <c r="M130" i="3"/>
  <c r="P158" i="1"/>
  <c r="AD160" i="3"/>
  <c r="AC161" i="3" s="1"/>
  <c r="T160" i="3"/>
  <c r="D131" i="3" l="1"/>
  <c r="V130" i="3"/>
  <c r="N130" i="3"/>
  <c r="E131" i="3" s="1"/>
  <c r="Y131" i="3"/>
  <c r="F131" i="3"/>
  <c r="G131" i="3" s="1"/>
  <c r="U129" i="1" s="1"/>
  <c r="Q158" i="1"/>
  <c r="U160" i="3"/>
  <c r="P161" i="3" l="1"/>
  <c r="W160" i="3"/>
  <c r="H131" i="3"/>
  <c r="AA131" i="3" s="1"/>
  <c r="Z132" i="3" s="1"/>
  <c r="Q161" i="3"/>
  <c r="R161" i="3" s="1"/>
  <c r="AB161" i="3"/>
  <c r="R129" i="1" l="1"/>
  <c r="I131" i="3"/>
  <c r="T159" i="1"/>
  <c r="S161" i="3"/>
  <c r="K131" i="3" l="1"/>
  <c r="S129" i="1"/>
  <c r="P159" i="1"/>
  <c r="T161" i="3"/>
  <c r="AD161" i="3"/>
  <c r="AC162" i="3" s="1"/>
  <c r="Q159" i="1" l="1"/>
  <c r="U161" i="3"/>
  <c r="L131" i="3"/>
  <c r="O131" i="3" s="1"/>
  <c r="X131" i="3" s="1"/>
  <c r="M131" i="3"/>
  <c r="V131" i="3" s="1"/>
  <c r="L19" i="1" l="1"/>
  <c r="P162" i="3"/>
  <c r="W161" i="3"/>
  <c r="N131" i="3"/>
  <c r="E132" i="3" s="1"/>
  <c r="D132" i="3"/>
  <c r="AB162" i="3" l="1"/>
  <c r="Q162" i="3"/>
  <c r="F132" i="3"/>
  <c r="Y132" i="3"/>
  <c r="R162" i="3" l="1"/>
  <c r="G132" i="3"/>
  <c r="T160" i="1"/>
  <c r="S162" i="3"/>
  <c r="U130" i="1" l="1"/>
  <c r="H132" i="3"/>
  <c r="P160" i="1"/>
  <c r="T162" i="3"/>
  <c r="AD162" i="3"/>
  <c r="AC163" i="3" s="1"/>
  <c r="I132" i="3" l="1"/>
  <c r="R130" i="1"/>
  <c r="AA132" i="3"/>
  <c r="Z133" i="3" s="1"/>
  <c r="U162" i="3"/>
  <c r="Q160" i="1"/>
  <c r="K132" i="3"/>
  <c r="S130" i="1"/>
  <c r="P163" i="3" l="1"/>
  <c r="W162" i="3"/>
  <c r="Q163" i="3"/>
  <c r="R163" i="3" s="1"/>
  <c r="T161" i="1" s="1"/>
  <c r="AB163" i="3"/>
  <c r="L132" i="3"/>
  <c r="O132" i="3" s="1"/>
  <c r="X132" i="3" s="1"/>
  <c r="M132" i="3"/>
  <c r="V132" i="3" s="1"/>
  <c r="D133" i="3" l="1"/>
  <c r="N132" i="3"/>
  <c r="E133" i="3" s="1"/>
  <c r="S163" i="3"/>
  <c r="F133" i="3" l="1"/>
  <c r="Y133" i="3"/>
  <c r="AD163" i="3"/>
  <c r="AC164" i="3" s="1"/>
  <c r="P161" i="1"/>
  <c r="T163" i="3"/>
  <c r="G133" i="3" l="1"/>
  <c r="U163" i="3"/>
  <c r="Q161" i="1"/>
  <c r="U131" i="1" l="1"/>
  <c r="H133" i="3"/>
  <c r="R131" i="1" s="1"/>
  <c r="P164" i="3"/>
  <c r="W163" i="3"/>
  <c r="AA133" i="3" l="1"/>
  <c r="Z134" i="3" s="1"/>
  <c r="I133" i="3"/>
  <c r="K133" i="3" s="1"/>
  <c r="S131" i="1"/>
  <c r="Q164" i="3"/>
  <c r="R164" i="3" s="1"/>
  <c r="AB164" i="3"/>
  <c r="L133" i="3" l="1"/>
  <c r="O133" i="3" s="1"/>
  <c r="X133" i="3" s="1"/>
  <c r="M133" i="3"/>
  <c r="T162" i="1"/>
  <c r="S164" i="3"/>
  <c r="T164" i="3" s="1"/>
  <c r="V133" i="3" l="1"/>
  <c r="N133" i="3"/>
  <c r="E134" i="3" s="1"/>
  <c r="D134" i="3"/>
  <c r="Q162" i="1"/>
  <c r="U164" i="3"/>
  <c r="P162" i="1"/>
  <c r="AD164" i="3"/>
  <c r="AC165" i="3" s="1"/>
  <c r="F134" i="3" l="1"/>
  <c r="G134" i="3" s="1"/>
  <c r="Y134" i="3"/>
  <c r="W164" i="3"/>
  <c r="P165" i="3"/>
  <c r="U132" i="1" l="1"/>
  <c r="H134" i="3"/>
  <c r="AB165" i="3"/>
  <c r="Q165" i="3"/>
  <c r="R165" i="3" s="1"/>
  <c r="S165" i="3" l="1"/>
  <c r="T165" i="3" s="1"/>
  <c r="R132" i="1"/>
  <c r="AA134" i="3"/>
  <c r="Z135" i="3" s="1"/>
  <c r="I134" i="3"/>
  <c r="T163" i="1"/>
  <c r="AD165" i="3" l="1"/>
  <c r="AC166" i="3" s="1"/>
  <c r="P163" i="1"/>
  <c r="S132" i="1"/>
  <c r="K134" i="3"/>
  <c r="Q163" i="1"/>
  <c r="U165" i="3"/>
  <c r="W165" i="3" l="1"/>
  <c r="P166" i="3"/>
  <c r="L134" i="3"/>
  <c r="O134" i="3" s="1"/>
  <c r="X134" i="3" s="1"/>
  <c r="M134" i="3"/>
  <c r="V134" i="3" s="1"/>
  <c r="Q166" i="3" l="1"/>
  <c r="AB166" i="3"/>
  <c r="D135" i="3"/>
  <c r="N134" i="3"/>
  <c r="E135" i="3" s="1"/>
  <c r="R166" i="3" l="1"/>
  <c r="Y135" i="3"/>
  <c r="F135" i="3"/>
  <c r="G135" i="3" s="1"/>
  <c r="S166" i="3" l="1"/>
  <c r="T164" i="1"/>
  <c r="H135" i="3"/>
  <c r="U133" i="1"/>
  <c r="T166" i="3" l="1"/>
  <c r="AD166" i="3"/>
  <c r="AC167" i="3" s="1"/>
  <c r="P164" i="1"/>
  <c r="R133" i="1"/>
  <c r="I135" i="3"/>
  <c r="AA135" i="3"/>
  <c r="Z136" i="3" s="1"/>
  <c r="U166" i="3" l="1"/>
  <c r="Q164" i="1"/>
  <c r="S133" i="1"/>
  <c r="K135" i="3"/>
  <c r="P167" i="3" l="1"/>
  <c r="W166" i="3"/>
  <c r="L135" i="3"/>
  <c r="O135" i="3" s="1"/>
  <c r="X135" i="3" s="1"/>
  <c r="M135" i="3"/>
  <c r="AB167" i="3" l="1"/>
  <c r="Q167" i="3"/>
  <c r="R167" i="3" s="1"/>
  <c r="V135" i="3"/>
  <c r="N135" i="3"/>
  <c r="E136" i="3" s="1"/>
  <c r="D136" i="3"/>
  <c r="T165" i="1" l="1"/>
  <c r="S167" i="3"/>
  <c r="T167" i="3" s="1"/>
  <c r="Y136" i="3"/>
  <c r="F136" i="3"/>
  <c r="G136" i="3" s="1"/>
  <c r="U134" i="1" s="1"/>
  <c r="U167" i="3" l="1"/>
  <c r="Q165" i="1"/>
  <c r="AD167" i="3"/>
  <c r="AC168" i="3" s="1"/>
  <c r="P165" i="1"/>
  <c r="H136" i="3"/>
  <c r="AA136" i="3" s="1"/>
  <c r="Z137" i="3" s="1"/>
  <c r="W167" i="3" l="1"/>
  <c r="P168" i="3"/>
  <c r="R134" i="1"/>
  <c r="I136" i="3"/>
  <c r="Q168" i="3" l="1"/>
  <c r="R168" i="3" s="1"/>
  <c r="T166" i="1" s="1"/>
  <c r="AB168" i="3"/>
  <c r="K136" i="3"/>
  <c r="S134" i="1"/>
  <c r="S168" i="3" l="1"/>
  <c r="L136" i="3"/>
  <c r="O136" i="3" s="1"/>
  <c r="X136" i="3" s="1"/>
  <c r="M136" i="3"/>
  <c r="V136" i="3" s="1"/>
  <c r="AD168" i="3" l="1"/>
  <c r="AC169" i="3" s="1"/>
  <c r="P166" i="1"/>
  <c r="T168" i="3"/>
  <c r="D137" i="3"/>
  <c r="N136" i="3"/>
  <c r="E137" i="3" s="1"/>
  <c r="U168" i="3" l="1"/>
  <c r="Q166" i="1"/>
  <c r="Y137" i="3"/>
  <c r="F137" i="3"/>
  <c r="G137" i="3" l="1"/>
  <c r="P169" i="3"/>
  <c r="W168" i="3"/>
  <c r="U135" i="1" l="1"/>
  <c r="H137" i="3"/>
  <c r="Q169" i="3"/>
  <c r="AB169" i="3"/>
  <c r="R135" i="1"/>
  <c r="I137" i="3"/>
  <c r="AA137" i="3"/>
  <c r="Z138" i="3" s="1"/>
  <c r="R169" i="3" l="1"/>
  <c r="S169" i="3" s="1"/>
  <c r="S135" i="1"/>
  <c r="K137" i="3"/>
  <c r="T167" i="1" l="1"/>
  <c r="T169" i="3"/>
  <c r="P167" i="1"/>
  <c r="AD169" i="3"/>
  <c r="AC170" i="3" s="1"/>
  <c r="L137" i="3"/>
  <c r="O137" i="3" s="1"/>
  <c r="X137" i="3" s="1"/>
  <c r="M137" i="3"/>
  <c r="V137" i="3" s="1"/>
  <c r="U169" i="3" l="1"/>
  <c r="Q167" i="1"/>
  <c r="N137" i="3"/>
  <c r="E138" i="3" s="1"/>
  <c r="M17" i="1"/>
  <c r="D138" i="3"/>
  <c r="P170" i="3" l="1"/>
  <c r="W169" i="3"/>
  <c r="F138" i="3"/>
  <c r="Y138" i="3"/>
  <c r="R170" i="3" l="1"/>
  <c r="T168" i="1" s="1"/>
  <c r="Q170" i="3"/>
  <c r="AB170" i="3"/>
  <c r="G138" i="3"/>
  <c r="U136" i="1" l="1"/>
  <c r="H138" i="3"/>
  <c r="R136" i="1" s="1"/>
  <c r="S170" i="3"/>
  <c r="AD170" i="3" s="1"/>
  <c r="AC171" i="3" s="1"/>
  <c r="I138" i="3"/>
  <c r="AA138" i="3"/>
  <c r="Z139" i="3" s="1"/>
  <c r="P168" i="1" l="1"/>
  <c r="T170" i="3"/>
  <c r="S136" i="1"/>
  <c r="K138" i="3"/>
  <c r="U170" i="3" l="1"/>
  <c r="Q168" i="1"/>
  <c r="L138" i="3"/>
  <c r="O138" i="3" s="1"/>
  <c r="X138" i="3" s="1"/>
  <c r="M138" i="3"/>
  <c r="V138" i="3"/>
  <c r="P171" i="3" l="1"/>
  <c r="W170" i="3"/>
  <c r="D139" i="3"/>
  <c r="N138" i="3"/>
  <c r="E139" i="3" s="1"/>
  <c r="AB171" i="3" l="1"/>
  <c r="Q171" i="3"/>
  <c r="R171" i="3" s="1"/>
  <c r="Y139" i="3"/>
  <c r="F139" i="3"/>
  <c r="G139" i="3" s="1"/>
  <c r="T169" i="1" l="1"/>
  <c r="S171" i="3"/>
  <c r="H139" i="3"/>
  <c r="I139" i="3" s="1"/>
  <c r="U137" i="1"/>
  <c r="P169" i="1" l="1"/>
  <c r="T171" i="3"/>
  <c r="AD171" i="3"/>
  <c r="AC172" i="3" s="1"/>
  <c r="R137" i="1"/>
  <c r="AA139" i="3"/>
  <c r="Z140" i="3" s="1"/>
  <c r="K139" i="3"/>
  <c r="S137" i="1"/>
  <c r="Q169" i="1" l="1"/>
  <c r="U171" i="3"/>
  <c r="L139" i="3"/>
  <c r="O139" i="3" s="1"/>
  <c r="X139" i="3" s="1"/>
  <c r="M139" i="3"/>
  <c r="W171" i="3" l="1"/>
  <c r="P172" i="3"/>
  <c r="D140" i="3"/>
  <c r="N139" i="3"/>
  <c r="E140" i="3" s="1"/>
  <c r="V139" i="3"/>
  <c r="AB172" i="3" l="1"/>
  <c r="R172" i="3" s="1"/>
  <c r="Q172" i="3"/>
  <c r="Y140" i="3"/>
  <c r="F140" i="3"/>
  <c r="T170" i="1" l="1"/>
  <c r="S172" i="3"/>
  <c r="T172" i="3" s="1"/>
  <c r="G140" i="3"/>
  <c r="H140" i="3" l="1"/>
  <c r="U138" i="1"/>
  <c r="U172" i="3"/>
  <c r="Q170" i="1"/>
  <c r="P170" i="1"/>
  <c r="AD172" i="3"/>
  <c r="AC173" i="3" s="1"/>
  <c r="R138" i="1" l="1"/>
  <c r="AA140" i="3"/>
  <c r="Z141" i="3" s="1"/>
  <c r="I140" i="3"/>
  <c r="S138" i="1" s="1"/>
  <c r="P173" i="3"/>
  <c r="W172" i="3"/>
  <c r="K140" i="3"/>
  <c r="AB173" i="3" l="1"/>
  <c r="Q173" i="3"/>
  <c r="R173" i="3" s="1"/>
  <c r="L140" i="3"/>
  <c r="O140" i="3" s="1"/>
  <c r="X140" i="3" s="1"/>
  <c r="M140" i="3"/>
  <c r="T171" i="1" l="1"/>
  <c r="S173" i="3"/>
  <c r="D141" i="3"/>
  <c r="N140" i="3"/>
  <c r="E141" i="3" s="1"/>
  <c r="V140" i="3"/>
  <c r="P171" i="1" l="1"/>
  <c r="T173" i="3"/>
  <c r="AD173" i="3"/>
  <c r="AC174" i="3" s="1"/>
  <c r="Y141" i="3"/>
  <c r="G141" i="3" s="1"/>
  <c r="F141" i="3"/>
  <c r="Q171" i="1" l="1"/>
  <c r="U173" i="3"/>
  <c r="W173" i="3" s="1"/>
  <c r="U139" i="1"/>
  <c r="H141" i="3"/>
  <c r="I141" i="3" s="1"/>
  <c r="L20" i="1" l="1"/>
  <c r="P174" i="3"/>
  <c r="K141" i="3"/>
  <c r="S139" i="1"/>
  <c r="AA141" i="3"/>
  <c r="Z142" i="3" s="1"/>
  <c r="R139" i="1"/>
  <c r="AB174" i="3" l="1"/>
  <c r="Q174" i="3"/>
  <c r="R174" i="3" s="1"/>
  <c r="L141" i="3"/>
  <c r="O141" i="3" s="1"/>
  <c r="X141" i="3" s="1"/>
  <c r="M141" i="3"/>
  <c r="V141" i="3" s="1"/>
  <c r="S174" i="3" l="1"/>
  <c r="T174" i="3" s="1"/>
  <c r="T172" i="1"/>
  <c r="N141" i="3"/>
  <c r="E142" i="3" s="1"/>
  <c r="D142" i="3"/>
  <c r="U174" i="3" l="1"/>
  <c r="P175" i="3" s="1"/>
  <c r="W174" i="3"/>
  <c r="Q172" i="1"/>
  <c r="P172" i="1"/>
  <c r="AD174" i="3"/>
  <c r="AC175" i="3" s="1"/>
  <c r="Y142" i="3"/>
  <c r="F142" i="3"/>
  <c r="G142" i="3" s="1"/>
  <c r="Q175" i="3" l="1"/>
  <c r="R175" i="3" s="1"/>
  <c r="AB175" i="3"/>
  <c r="U140" i="1"/>
  <c r="H142" i="3"/>
  <c r="T173" i="1" l="1"/>
  <c r="S175" i="3"/>
  <c r="R140" i="1"/>
  <c r="I142" i="3"/>
  <c r="AA142" i="3"/>
  <c r="Z143" i="3" s="1"/>
  <c r="P173" i="1" l="1"/>
  <c r="AD175" i="3"/>
  <c r="AC176" i="3" s="1"/>
  <c r="T175" i="3"/>
  <c r="S140" i="1"/>
  <c r="K142" i="3"/>
  <c r="Q173" i="1" l="1"/>
  <c r="U175" i="3"/>
  <c r="M142" i="3"/>
  <c r="L142" i="3"/>
  <c r="O142" i="3" s="1"/>
  <c r="X142" i="3" s="1"/>
  <c r="P176" i="3" l="1"/>
  <c r="W175" i="3"/>
  <c r="V142" i="3"/>
  <c r="D143" i="3"/>
  <c r="N142" i="3"/>
  <c r="E143" i="3" s="1"/>
  <c r="Q176" i="3" l="1"/>
  <c r="AB176" i="3"/>
  <c r="Y143" i="3"/>
  <c r="F143" i="3"/>
  <c r="G143" i="3" s="1"/>
  <c r="R176" i="3" l="1"/>
  <c r="S176" i="3" s="1"/>
  <c r="U141" i="1"/>
  <c r="H143" i="3"/>
  <c r="I143" i="3" s="1"/>
  <c r="T174" i="1" l="1"/>
  <c r="T176" i="3"/>
  <c r="AD176" i="3"/>
  <c r="AC177" i="3" s="1"/>
  <c r="P174" i="1"/>
  <c r="K143" i="3"/>
  <c r="S141" i="1"/>
  <c r="AA143" i="3"/>
  <c r="Z144" i="3" s="1"/>
  <c r="R141" i="1"/>
  <c r="U176" i="3" l="1"/>
  <c r="Q174" i="1"/>
  <c r="L143" i="3"/>
  <c r="O143" i="3" s="1"/>
  <c r="X143" i="3" s="1"/>
  <c r="M143" i="3"/>
  <c r="V143" i="3" s="1"/>
  <c r="P177" i="3" l="1"/>
  <c r="W176" i="3"/>
  <c r="R177" i="3"/>
  <c r="T175" i="1" s="1"/>
  <c r="Q177" i="3"/>
  <c r="AB177" i="3"/>
  <c r="N143" i="3"/>
  <c r="E144" i="3" s="1"/>
  <c r="D144" i="3"/>
  <c r="S177" i="3" l="1"/>
  <c r="AD177" i="3" s="1"/>
  <c r="AC178" i="3" s="1"/>
  <c r="F144" i="3"/>
  <c r="Y144" i="3"/>
  <c r="P175" i="1" l="1"/>
  <c r="T177" i="3"/>
  <c r="G144" i="3"/>
  <c r="Q175" i="1" l="1"/>
  <c r="U177" i="3"/>
  <c r="U142" i="1"/>
  <c r="H144" i="3"/>
  <c r="AA144" i="3" l="1"/>
  <c r="Z145" i="3" s="1"/>
  <c r="I144" i="3"/>
  <c r="R142" i="1"/>
  <c r="P178" i="3"/>
  <c r="W177" i="3"/>
  <c r="K144" i="3"/>
  <c r="M144" i="3" s="1"/>
  <c r="S142" i="1"/>
  <c r="Q178" i="3" l="1"/>
  <c r="R178" i="3" s="1"/>
  <c r="AB178" i="3"/>
  <c r="N144" i="3"/>
  <c r="E145" i="3" s="1"/>
  <c r="D145" i="3"/>
  <c r="L144" i="3"/>
  <c r="O144" i="3" s="1"/>
  <c r="X144" i="3" s="1"/>
  <c r="V144" i="3"/>
  <c r="T176" i="1" l="1"/>
  <c r="S178" i="3"/>
  <c r="Y145" i="3"/>
  <c r="F145" i="3"/>
  <c r="G145" i="3" s="1"/>
  <c r="P176" i="1" l="1"/>
  <c r="T178" i="3"/>
  <c r="AD178" i="3"/>
  <c r="AC179" i="3" s="1"/>
  <c r="Q176" i="1"/>
  <c r="U178" i="3"/>
  <c r="U143" i="1"/>
  <c r="H145" i="3"/>
  <c r="I145" i="3" s="1"/>
  <c r="P179" i="3" l="1"/>
  <c r="W178" i="3"/>
  <c r="K145" i="3"/>
  <c r="S143" i="1"/>
  <c r="R143" i="1"/>
  <c r="AA145" i="3"/>
  <c r="Z146" i="3" s="1"/>
  <c r="Q179" i="3" l="1"/>
  <c r="AB179" i="3"/>
  <c r="R179" i="3"/>
  <c r="V145" i="3"/>
  <c r="L145" i="3"/>
  <c r="O145" i="3" s="1"/>
  <c r="X145" i="3" s="1"/>
  <c r="M145" i="3"/>
  <c r="T177" i="1" l="1"/>
  <c r="S179" i="3"/>
  <c r="T179" i="3" s="1"/>
  <c r="N145" i="3"/>
  <c r="E146" i="3" s="1"/>
  <c r="D146" i="3"/>
  <c r="Q177" i="1" l="1"/>
  <c r="U179" i="3"/>
  <c r="AD179" i="3"/>
  <c r="AC180" i="3" s="1"/>
  <c r="P177" i="1"/>
  <c r="Y146" i="3"/>
  <c r="F146" i="3"/>
  <c r="G146" i="3" s="1"/>
  <c r="W179" i="3" l="1"/>
  <c r="P180" i="3"/>
  <c r="H146" i="3"/>
  <c r="I146" i="3" s="1"/>
  <c r="U144" i="1"/>
  <c r="Q180" i="3" l="1"/>
  <c r="AB180" i="3"/>
  <c r="AA146" i="3"/>
  <c r="Z147" i="3" s="1"/>
  <c r="R144" i="1"/>
  <c r="S144" i="1"/>
  <c r="K146" i="3"/>
  <c r="R180" i="3" l="1"/>
  <c r="M146" i="3"/>
  <c r="N146" i="3" s="1"/>
  <c r="E147" i="3" s="1"/>
  <c r="L146" i="3"/>
  <c r="O146" i="3" s="1"/>
  <c r="X146" i="3" s="1"/>
  <c r="S180" i="3" l="1"/>
  <c r="T180" i="3" s="1"/>
  <c r="T178" i="1"/>
  <c r="V146" i="3"/>
  <c r="D147" i="3"/>
  <c r="AD180" i="3" l="1"/>
  <c r="AC181" i="3" s="1"/>
  <c r="P178" i="1"/>
  <c r="Q178" i="1"/>
  <c r="U180" i="3"/>
  <c r="F147" i="3"/>
  <c r="Y147" i="3"/>
  <c r="G147" i="3" l="1"/>
  <c r="W180" i="3"/>
  <c r="P181" i="3"/>
  <c r="H147" i="3" l="1"/>
  <c r="U145" i="1"/>
  <c r="AB181" i="3"/>
  <c r="Q181" i="3"/>
  <c r="R181" i="3" s="1"/>
  <c r="T179" i="1" s="1"/>
  <c r="AA147" i="3" l="1"/>
  <c r="Z148" i="3" s="1"/>
  <c r="R145" i="1"/>
  <c r="I147" i="3"/>
  <c r="S181" i="3"/>
  <c r="K147" i="3" l="1"/>
  <c r="M147" i="3" s="1"/>
  <c r="S145" i="1"/>
  <c r="AD181" i="3"/>
  <c r="AC182" i="3" s="1"/>
  <c r="P179" i="1"/>
  <c r="T181" i="3"/>
  <c r="D148" i="3" l="1"/>
  <c r="N147" i="3"/>
  <c r="E148" i="3" s="1"/>
  <c r="V147" i="3"/>
  <c r="L147" i="3"/>
  <c r="O147" i="3" s="1"/>
  <c r="X147" i="3" s="1"/>
  <c r="Q179" i="1"/>
  <c r="U181" i="3"/>
  <c r="F148" i="3" l="1"/>
  <c r="Y148" i="3"/>
  <c r="P182" i="3"/>
  <c r="W181" i="3"/>
  <c r="G148" i="3" l="1"/>
  <c r="AB182" i="3"/>
  <c r="Q182" i="3"/>
  <c r="R182" i="3" s="1"/>
  <c r="H148" i="3" l="1"/>
  <c r="U146" i="1"/>
  <c r="S182" i="3"/>
  <c r="T180" i="1"/>
  <c r="R146" i="1" l="1"/>
  <c r="I148" i="3"/>
  <c r="AA148" i="3"/>
  <c r="Z149" i="3" s="1"/>
  <c r="P180" i="1"/>
  <c r="T182" i="3"/>
  <c r="AD182" i="3"/>
  <c r="AC183" i="3" s="1"/>
  <c r="K148" i="3" l="1"/>
  <c r="S146" i="1"/>
  <c r="U182" i="3"/>
  <c r="Q180" i="1"/>
  <c r="L148" i="3" l="1"/>
  <c r="O148" i="3" s="1"/>
  <c r="X148" i="3" s="1"/>
  <c r="M148" i="3"/>
  <c r="P183" i="3"/>
  <c r="W182" i="3"/>
  <c r="V148" i="3" l="1"/>
  <c r="D149" i="3"/>
  <c r="N148" i="3"/>
  <c r="E149" i="3" s="1"/>
  <c r="Q183" i="3"/>
  <c r="AB183" i="3"/>
  <c r="Y149" i="3" l="1"/>
  <c r="F149" i="3"/>
  <c r="R183" i="3"/>
  <c r="G149" i="3" l="1"/>
  <c r="T181" i="1"/>
  <c r="S183" i="3"/>
  <c r="U147" i="1" l="1"/>
  <c r="H149" i="3"/>
  <c r="T183" i="3"/>
  <c r="P181" i="1"/>
  <c r="AD183" i="3"/>
  <c r="AC184" i="3" s="1"/>
  <c r="I149" i="3" l="1"/>
  <c r="R147" i="1"/>
  <c r="AA149" i="3"/>
  <c r="Z150" i="3" s="1"/>
  <c r="Q181" i="1"/>
  <c r="U183" i="3"/>
  <c r="K149" i="3" l="1"/>
  <c r="S147" i="1"/>
  <c r="P184" i="3"/>
  <c r="W183" i="3"/>
  <c r="L149" i="3" l="1"/>
  <c r="O149" i="3" s="1"/>
  <c r="X149" i="3" s="1"/>
  <c r="M149" i="3"/>
  <c r="V149" i="3"/>
  <c r="Q184" i="3"/>
  <c r="AB184" i="3"/>
  <c r="N149" i="3" l="1"/>
  <c r="E150" i="3" s="1"/>
  <c r="M18" i="1"/>
  <c r="D150" i="3"/>
  <c r="R184" i="3"/>
  <c r="Y150" i="3" l="1"/>
  <c r="F150" i="3"/>
  <c r="G150" i="3" s="1"/>
  <c r="T182" i="1"/>
  <c r="S184" i="3"/>
  <c r="I150" i="3" l="1"/>
  <c r="U148" i="1"/>
  <c r="AA150" i="3"/>
  <c r="Z151" i="3" s="1"/>
  <c r="H150" i="3"/>
  <c r="R148" i="1" s="1"/>
  <c r="T184" i="3"/>
  <c r="P182" i="1"/>
  <c r="AD184" i="3"/>
  <c r="AC185" i="3" s="1"/>
  <c r="K150" i="3" l="1"/>
  <c r="S148" i="1"/>
  <c r="U184" i="3"/>
  <c r="P185" i="3" s="1"/>
  <c r="W184" i="3"/>
  <c r="Q182" i="1"/>
  <c r="M150" i="3" l="1"/>
  <c r="L150" i="3"/>
  <c r="O150" i="3" s="1"/>
  <c r="X150" i="3" s="1"/>
  <c r="Q185" i="3"/>
  <c r="R185" i="3" s="1"/>
  <c r="T183" i="1" s="1"/>
  <c r="AB185" i="3"/>
  <c r="V150" i="3" l="1"/>
  <c r="N150" i="3"/>
  <c r="E151" i="3" s="1"/>
  <c r="D151" i="3"/>
  <c r="S185" i="3"/>
  <c r="AD185" i="3" s="1"/>
  <c r="AC186" i="3" s="1"/>
  <c r="Y151" i="3" l="1"/>
  <c r="F151" i="3"/>
  <c r="P183" i="1"/>
  <c r="T185" i="3"/>
  <c r="G151" i="3" l="1"/>
  <c r="U185" i="3"/>
  <c r="W185" i="3" s="1"/>
  <c r="Q183" i="1"/>
  <c r="H151" i="3" l="1"/>
  <c r="I151" i="3" s="1"/>
  <c r="U149" i="1"/>
  <c r="L21" i="1"/>
  <c r="P186" i="3"/>
  <c r="S149" i="1" l="1"/>
  <c r="K151" i="3"/>
  <c r="R149" i="1"/>
  <c r="AA151" i="3"/>
  <c r="Z152" i="3" s="1"/>
  <c r="Q186" i="3"/>
  <c r="AB186" i="3"/>
  <c r="M151" i="3" l="1"/>
  <c r="L151" i="3"/>
  <c r="O151" i="3" s="1"/>
  <c r="X151" i="3" s="1"/>
  <c r="R186" i="3"/>
  <c r="N151" i="3" l="1"/>
  <c r="E152" i="3" s="1"/>
  <c r="D152" i="3"/>
  <c r="V151" i="3"/>
  <c r="T184" i="1"/>
  <c r="S186" i="3"/>
  <c r="P184" i="1"/>
  <c r="F152" i="3" l="1"/>
  <c r="Y152" i="3"/>
  <c r="AD186" i="3"/>
  <c r="AC187" i="3" s="1"/>
  <c r="T186" i="3"/>
  <c r="Q184" i="1" l="1"/>
  <c r="U186" i="3"/>
  <c r="G152" i="3"/>
  <c r="W186" i="3" l="1"/>
  <c r="P187" i="3"/>
  <c r="H152" i="3"/>
  <c r="U150" i="1"/>
  <c r="Q187" i="3" l="1"/>
  <c r="AB187" i="3"/>
  <c r="AA152" i="3"/>
  <c r="Z153" i="3" s="1"/>
  <c r="I152" i="3"/>
  <c r="R150" i="1"/>
  <c r="S150" i="1" l="1"/>
  <c r="K152" i="3"/>
  <c r="R187" i="3"/>
  <c r="L152" i="3" l="1"/>
  <c r="O152" i="3" s="1"/>
  <c r="X152" i="3" s="1"/>
  <c r="M152" i="3"/>
  <c r="T185" i="1"/>
  <c r="T187" i="3"/>
  <c r="S187" i="3"/>
  <c r="V152" i="3" l="1"/>
  <c r="N152" i="3"/>
  <c r="E153" i="3" s="1"/>
  <c r="D153" i="3"/>
  <c r="Q185" i="1"/>
  <c r="U187" i="3"/>
  <c r="P185" i="1"/>
  <c r="AD187" i="3"/>
  <c r="AC188" i="3" s="1"/>
  <c r="F153" i="3" l="1"/>
  <c r="Y153" i="3"/>
  <c r="G153" i="3" s="1"/>
  <c r="W187" i="3"/>
  <c r="P188" i="3"/>
  <c r="U151" i="1" l="1"/>
  <c r="H153" i="3"/>
  <c r="Q188" i="3"/>
  <c r="R188" i="3" s="1"/>
  <c r="T186" i="1" s="1"/>
  <c r="AB188" i="3"/>
  <c r="S188" i="3" l="1"/>
  <c r="R151" i="1"/>
  <c r="I153" i="3"/>
  <c r="AA153" i="3"/>
  <c r="Z154" i="3" s="1"/>
  <c r="P186" i="1" l="1"/>
  <c r="AD188" i="3"/>
  <c r="AC189" i="3" s="1"/>
  <c r="T188" i="3"/>
  <c r="S151" i="1"/>
  <c r="K153" i="3"/>
  <c r="U188" i="3" l="1"/>
  <c r="Q186" i="1"/>
  <c r="L153" i="3"/>
  <c r="O153" i="3" s="1"/>
  <c r="X153" i="3" s="1"/>
  <c r="M153" i="3"/>
  <c r="V153" i="3" s="1"/>
  <c r="D154" i="3" l="1"/>
  <c r="N153" i="3"/>
  <c r="E154" i="3" s="1"/>
  <c r="P189" i="3"/>
  <c r="W188" i="3"/>
  <c r="Y154" i="3" l="1"/>
  <c r="G154" i="3" s="1"/>
  <c r="F154" i="3"/>
  <c r="Q189" i="3"/>
  <c r="R189" i="3" s="1"/>
  <c r="AB189" i="3"/>
  <c r="U152" i="1" l="1"/>
  <c r="AA154" i="3"/>
  <c r="Z155" i="3" s="1"/>
  <c r="H154" i="3"/>
  <c r="T187" i="1"/>
  <c r="S189" i="3"/>
  <c r="T189" i="3" s="1"/>
  <c r="Q187" i="1" l="1"/>
  <c r="U189" i="3"/>
  <c r="AD189" i="3"/>
  <c r="AC190" i="3" s="1"/>
  <c r="P187" i="1"/>
  <c r="R152" i="1"/>
  <c r="I154" i="3"/>
  <c r="W189" i="3" l="1"/>
  <c r="P190" i="3"/>
  <c r="K154" i="3"/>
  <c r="S152" i="1"/>
  <c r="Q190" i="3" l="1"/>
  <c r="R190" i="3" s="1"/>
  <c r="T188" i="1" s="1"/>
  <c r="AB190" i="3"/>
  <c r="L154" i="3"/>
  <c r="O154" i="3" s="1"/>
  <c r="X154" i="3" s="1"/>
  <c r="M154" i="3"/>
  <c r="V154" i="3" l="1"/>
  <c r="D155" i="3"/>
  <c r="N154" i="3"/>
  <c r="E155" i="3" s="1"/>
  <c r="S190" i="3"/>
  <c r="F155" i="3" l="1"/>
  <c r="G155" i="3" s="1"/>
  <c r="Y155" i="3"/>
  <c r="AD190" i="3"/>
  <c r="AC191" i="3" s="1"/>
  <c r="P188" i="1"/>
  <c r="T190" i="3"/>
  <c r="U153" i="1" l="1"/>
  <c r="H155" i="3"/>
  <c r="Q188" i="1"/>
  <c r="U190" i="3"/>
  <c r="R153" i="1" l="1"/>
  <c r="I155" i="3"/>
  <c r="AA155" i="3"/>
  <c r="Z156" i="3" s="1"/>
  <c r="P191" i="3"/>
  <c r="W190" i="3"/>
  <c r="S153" i="1" l="1"/>
  <c r="K155" i="3"/>
  <c r="AB191" i="3"/>
  <c r="R191" i="3" s="1"/>
  <c r="Q191" i="3"/>
  <c r="M155" i="3" l="1"/>
  <c r="L155" i="3"/>
  <c r="O155" i="3" s="1"/>
  <c r="X155" i="3" s="1"/>
  <c r="T189" i="1"/>
  <c r="S191" i="3"/>
  <c r="T191" i="3" s="1"/>
  <c r="V155" i="3" l="1"/>
  <c r="N155" i="3"/>
  <c r="E156" i="3" s="1"/>
  <c r="D156" i="3"/>
  <c r="Q189" i="1"/>
  <c r="U191" i="3"/>
  <c r="AD191" i="3"/>
  <c r="AC192" i="3" s="1"/>
  <c r="P189" i="1"/>
  <c r="Y156" i="3" l="1"/>
  <c r="G156" i="3" s="1"/>
  <c r="F156" i="3"/>
  <c r="P192" i="3"/>
  <c r="W191" i="3"/>
  <c r="U154" i="1" l="1"/>
  <c r="H156" i="3"/>
  <c r="AB192" i="3"/>
  <c r="R192" i="3" s="1"/>
  <c r="Q192" i="3"/>
  <c r="T190" i="1" l="1"/>
  <c r="S192" i="3"/>
  <c r="T192" i="3" s="1"/>
  <c r="R154" i="1"/>
  <c r="AA156" i="3"/>
  <c r="Z157" i="3" s="1"/>
  <c r="I156" i="3"/>
  <c r="Q190" i="1" l="1"/>
  <c r="U192" i="3"/>
  <c r="AD192" i="3"/>
  <c r="AC193" i="3" s="1"/>
  <c r="P190" i="1"/>
  <c r="S154" i="1"/>
  <c r="K156" i="3"/>
  <c r="W192" i="3" l="1"/>
  <c r="P193" i="3"/>
  <c r="M156" i="3"/>
  <c r="L156" i="3"/>
  <c r="O156" i="3" s="1"/>
  <c r="X156" i="3" s="1"/>
  <c r="AB193" i="3" l="1"/>
  <c r="Q193" i="3"/>
  <c r="V156" i="3"/>
  <c r="N156" i="3"/>
  <c r="E157" i="3" s="1"/>
  <c r="D157" i="3"/>
  <c r="R193" i="3" l="1"/>
  <c r="S193" i="3" s="1"/>
  <c r="F157" i="3"/>
  <c r="Y157" i="3"/>
  <c r="G157" i="3" s="1"/>
  <c r="U155" i="1" s="1"/>
  <c r="T193" i="3" l="1"/>
  <c r="T191" i="1"/>
  <c r="H157" i="3"/>
  <c r="AA157" i="3" s="1"/>
  <c r="Z158" i="3" s="1"/>
  <c r="AD193" i="3"/>
  <c r="AC194" i="3" s="1"/>
  <c r="P191" i="1"/>
  <c r="Q191" i="1" l="1"/>
  <c r="U193" i="3"/>
  <c r="R155" i="1"/>
  <c r="I157" i="3"/>
  <c r="K157" i="3" l="1"/>
  <c r="S155" i="1"/>
  <c r="P194" i="3"/>
  <c r="W193" i="3"/>
  <c r="AB194" i="3" l="1"/>
  <c r="R194" i="3" s="1"/>
  <c r="Q194" i="3"/>
  <c r="L157" i="3"/>
  <c r="O157" i="3" s="1"/>
  <c r="X157" i="3" s="1"/>
  <c r="M157" i="3"/>
  <c r="V157" i="3"/>
  <c r="S194" i="3" l="1"/>
  <c r="T192" i="1"/>
  <c r="D158" i="3"/>
  <c r="N157" i="3"/>
  <c r="E158" i="3" s="1"/>
  <c r="Y158" i="3" l="1"/>
  <c r="G158" i="3" s="1"/>
  <c r="F158" i="3"/>
  <c r="P192" i="1"/>
  <c r="AD194" i="3"/>
  <c r="AC195" i="3" s="1"/>
  <c r="T194" i="3"/>
  <c r="U156" i="1" l="1"/>
  <c r="H158" i="3"/>
  <c r="I158" i="3" s="1"/>
  <c r="U194" i="3"/>
  <c r="Q192" i="1"/>
  <c r="K158" i="3" l="1"/>
  <c r="S156" i="1"/>
  <c r="AA158" i="3"/>
  <c r="Z159" i="3" s="1"/>
  <c r="R156" i="1"/>
  <c r="P195" i="3"/>
  <c r="W194" i="3"/>
  <c r="AB195" i="3" l="1"/>
  <c r="Q195" i="3"/>
  <c r="R195" i="3" s="1"/>
  <c r="L158" i="3"/>
  <c r="O158" i="3" s="1"/>
  <c r="X158" i="3" s="1"/>
  <c r="M158" i="3"/>
  <c r="S195" i="3" l="1"/>
  <c r="T193" i="1"/>
  <c r="N158" i="3"/>
  <c r="E159" i="3" s="1"/>
  <c r="D159" i="3"/>
  <c r="V158" i="3"/>
  <c r="Y159" i="3" l="1"/>
  <c r="G159" i="3" s="1"/>
  <c r="F159" i="3"/>
  <c r="P193" i="1"/>
  <c r="AD195" i="3"/>
  <c r="AC196" i="3" s="1"/>
  <c r="T195" i="3"/>
  <c r="U157" i="1" l="1"/>
  <c r="H159" i="3"/>
  <c r="Q193" i="1"/>
  <c r="U195" i="3"/>
  <c r="R157" i="1" l="1"/>
  <c r="I159" i="3"/>
  <c r="AA159" i="3"/>
  <c r="Z160" i="3" s="1"/>
  <c r="P196" i="3"/>
  <c r="W195" i="3"/>
  <c r="S157" i="1" l="1"/>
  <c r="K159" i="3"/>
  <c r="L159" i="3" s="1"/>
  <c r="O159" i="3" s="1"/>
  <c r="X159" i="3" s="1"/>
  <c r="M159" i="3"/>
  <c r="V159" i="3"/>
  <c r="AB196" i="3"/>
  <c r="Q196" i="3"/>
  <c r="D160" i="3" l="1"/>
  <c r="N159" i="3"/>
  <c r="E160" i="3" s="1"/>
  <c r="R196" i="3"/>
  <c r="Y160" i="3" l="1"/>
  <c r="F160" i="3"/>
  <c r="T194" i="1"/>
  <c r="S196" i="3"/>
  <c r="T196" i="3" l="1"/>
  <c r="P194" i="1"/>
  <c r="AD196" i="3"/>
  <c r="AC197" i="3" s="1"/>
  <c r="G160" i="3"/>
  <c r="U196" i="3" l="1"/>
  <c r="P197" i="3" s="1"/>
  <c r="W196" i="3"/>
  <c r="Q194" i="1"/>
  <c r="H160" i="3"/>
  <c r="I160" i="3" s="1"/>
  <c r="U158" i="1"/>
  <c r="AB197" i="3" l="1"/>
  <c r="Q197" i="3"/>
  <c r="R197" i="3" s="1"/>
  <c r="S158" i="1"/>
  <c r="K160" i="3"/>
  <c r="AA160" i="3"/>
  <c r="Z161" i="3" s="1"/>
  <c r="R158" i="1"/>
  <c r="T195" i="1" l="1"/>
  <c r="L160" i="3"/>
  <c r="O160" i="3" s="1"/>
  <c r="X160" i="3" s="1"/>
  <c r="M160" i="3"/>
  <c r="V160" i="3" s="1"/>
  <c r="S197" i="3"/>
  <c r="T197" i="3" s="1"/>
  <c r="U197" i="3" l="1"/>
  <c r="W197" i="3"/>
  <c r="Q195" i="1"/>
  <c r="N160" i="3"/>
  <c r="E161" i="3" s="1"/>
  <c r="D161" i="3"/>
  <c r="AD197" i="3"/>
  <c r="AC198" i="3" s="1"/>
  <c r="P195" i="1"/>
  <c r="P198" i="3" l="1"/>
  <c r="L22" i="1"/>
  <c r="G161" i="3"/>
  <c r="Y161" i="3"/>
  <c r="F161" i="3"/>
  <c r="Q198" i="3" l="1"/>
  <c r="R198" i="3" s="1"/>
  <c r="AB198" i="3"/>
  <c r="U159" i="1"/>
  <c r="I161" i="3"/>
  <c r="S159" i="1" s="1"/>
  <c r="H161" i="3"/>
  <c r="R159" i="1" s="1"/>
  <c r="AA161" i="3"/>
  <c r="Z162" i="3" s="1"/>
  <c r="K161" i="3"/>
  <c r="M161" i="3" s="1"/>
  <c r="T196" i="1" l="1"/>
  <c r="S198" i="3"/>
  <c r="T198" i="3" s="1"/>
  <c r="N161" i="3"/>
  <c r="E162" i="3" s="1"/>
  <c r="M19" i="1"/>
  <c r="D162" i="3"/>
  <c r="V161" i="3"/>
  <c r="L161" i="3"/>
  <c r="O161" i="3" s="1"/>
  <c r="X161" i="3" s="1"/>
  <c r="U198" i="3" l="1"/>
  <c r="Q196" i="1"/>
  <c r="AD198" i="3"/>
  <c r="AC199" i="3" s="1"/>
  <c r="P196" i="1"/>
  <c r="F162" i="3"/>
  <c r="Y162" i="3"/>
  <c r="P199" i="3" l="1"/>
  <c r="W198" i="3"/>
  <c r="G162" i="3"/>
  <c r="AB199" i="3" l="1"/>
  <c r="Q199" i="3"/>
  <c r="R199" i="3" s="1"/>
  <c r="U160" i="1"/>
  <c r="H162" i="3"/>
  <c r="S199" i="3" l="1"/>
  <c r="T197" i="1"/>
  <c r="AA162" i="3"/>
  <c r="Z163" i="3" s="1"/>
  <c r="R160" i="1"/>
  <c r="I162" i="3"/>
  <c r="P197" i="1" l="1"/>
  <c r="T199" i="3"/>
  <c r="AD199" i="3"/>
  <c r="AC200" i="3" s="1"/>
  <c r="K162" i="3"/>
  <c r="M162" i="3" s="1"/>
  <c r="S160" i="1"/>
  <c r="Q197" i="1" l="1"/>
  <c r="U199" i="3"/>
  <c r="N162" i="3"/>
  <c r="E163" i="3" s="1"/>
  <c r="D163" i="3"/>
  <c r="V162" i="3"/>
  <c r="L162" i="3"/>
  <c r="O162" i="3" s="1"/>
  <c r="X162" i="3" s="1"/>
  <c r="P200" i="3" l="1"/>
  <c r="W199" i="3"/>
  <c r="F163" i="3"/>
  <c r="Y163" i="3"/>
  <c r="Q200" i="3" l="1"/>
  <c r="AB200" i="3"/>
  <c r="G163" i="3"/>
  <c r="R200" i="3" l="1"/>
  <c r="S200" i="3" s="1"/>
  <c r="H163" i="3"/>
  <c r="U161" i="1"/>
  <c r="P198" i="1" l="1"/>
  <c r="AD200" i="3"/>
  <c r="AC201" i="3" s="1"/>
  <c r="T200" i="3"/>
  <c r="T198" i="1"/>
  <c r="R161" i="1"/>
  <c r="AA163" i="3"/>
  <c r="Z164" i="3" s="1"/>
  <c r="I163" i="3"/>
  <c r="U200" i="3" l="1"/>
  <c r="Q198" i="1"/>
  <c r="S161" i="1"/>
  <c r="K163" i="3"/>
  <c r="M163" i="3" s="1"/>
  <c r="D164" i="3" l="1"/>
  <c r="N163" i="3"/>
  <c r="E164" i="3" s="1"/>
  <c r="V163" i="3"/>
  <c r="L163" i="3"/>
  <c r="O163" i="3" s="1"/>
  <c r="X163" i="3" s="1"/>
  <c r="P201" i="3"/>
  <c r="W200" i="3"/>
  <c r="Y164" i="3" l="1"/>
  <c r="F164" i="3"/>
  <c r="AB201" i="3"/>
  <c r="Q201" i="3"/>
  <c r="R201" i="3" s="1"/>
  <c r="AD201" i="3" l="1"/>
  <c r="AC202" i="3" s="1"/>
  <c r="S201" i="3"/>
  <c r="P199" i="1" s="1"/>
  <c r="T201" i="3"/>
  <c r="T199" i="1"/>
  <c r="G164" i="3"/>
  <c r="U201" i="3" l="1"/>
  <c r="Q199" i="1"/>
  <c r="H164" i="3"/>
  <c r="U162" i="1"/>
  <c r="R162" i="1" l="1"/>
  <c r="AA164" i="3"/>
  <c r="Z165" i="3" s="1"/>
  <c r="I164" i="3"/>
  <c r="P202" i="3"/>
  <c r="W201" i="3"/>
  <c r="S162" i="1" l="1"/>
  <c r="K164" i="3"/>
  <c r="Q202" i="3"/>
  <c r="R202" i="3" s="1"/>
  <c r="AB202" i="3"/>
  <c r="T200" i="1" l="1"/>
  <c r="S202" i="3"/>
  <c r="T202" i="3" s="1"/>
  <c r="L164" i="3"/>
  <c r="O164" i="3" s="1"/>
  <c r="X164" i="3" s="1"/>
  <c r="M164" i="3"/>
  <c r="V164" i="3" s="1"/>
  <c r="U202" i="3" l="1"/>
  <c r="Q200" i="1"/>
  <c r="AD202" i="3"/>
  <c r="AC203" i="3" s="1"/>
  <c r="P200" i="1"/>
  <c r="N164" i="3"/>
  <c r="E165" i="3" s="1"/>
  <c r="D165" i="3"/>
  <c r="F165" i="3" l="1"/>
  <c r="Y165" i="3"/>
  <c r="G165" i="3" s="1"/>
  <c r="U163" i="1" s="1"/>
  <c r="P203" i="3"/>
  <c r="W202" i="3"/>
  <c r="H165" i="3" l="1"/>
  <c r="AA165" i="3" s="1"/>
  <c r="Z166" i="3" s="1"/>
  <c r="AB203" i="3"/>
  <c r="Q203" i="3"/>
  <c r="R203" i="3" s="1"/>
  <c r="T201" i="1" s="1"/>
  <c r="R163" i="1" l="1"/>
  <c r="I165" i="3"/>
  <c r="S203" i="3"/>
  <c r="AD203" i="3" s="1"/>
  <c r="AC204" i="3" s="1"/>
  <c r="M165" i="3" l="1"/>
  <c r="K165" i="3"/>
  <c r="L165" i="3" s="1"/>
  <c r="O165" i="3" s="1"/>
  <c r="X165" i="3" s="1"/>
  <c r="S163" i="1"/>
  <c r="P201" i="1"/>
  <c r="T203" i="3"/>
  <c r="N165" i="3" l="1"/>
  <c r="E166" i="3" s="1"/>
  <c r="D166" i="3"/>
  <c r="V165" i="3"/>
  <c r="U203" i="3"/>
  <c r="P204" i="3" s="1"/>
  <c r="W203" i="3"/>
  <c r="Q201" i="1"/>
  <c r="Y166" i="3" l="1"/>
  <c r="G166" i="3" s="1"/>
  <c r="F166" i="3"/>
  <c r="AB204" i="3"/>
  <c r="Q204" i="3"/>
  <c r="R204" i="3" s="1"/>
  <c r="S204" i="3" s="1"/>
  <c r="P202" i="1" l="1"/>
  <c r="AD204" i="3"/>
  <c r="AC205" i="3" s="1"/>
  <c r="T204" i="3"/>
  <c r="T202" i="1"/>
  <c r="H166" i="3"/>
  <c r="U164" i="1"/>
  <c r="W204" i="3" l="1"/>
  <c r="U204" i="3"/>
  <c r="P205" i="3" s="1"/>
  <c r="Q202" i="1"/>
  <c r="R164" i="1"/>
  <c r="AA166" i="3"/>
  <c r="Z167" i="3" s="1"/>
  <c r="I166" i="3"/>
  <c r="AB205" i="3" l="1"/>
  <c r="Q205" i="3"/>
  <c r="R205" i="3" s="1"/>
  <c r="S164" i="1"/>
  <c r="K166" i="3"/>
  <c r="T205" i="3" l="1"/>
  <c r="T203" i="1"/>
  <c r="S205" i="3"/>
  <c r="L166" i="3"/>
  <c r="O166" i="3" s="1"/>
  <c r="X166" i="3" s="1"/>
  <c r="M166" i="3"/>
  <c r="U205" i="3" l="1"/>
  <c r="Q203" i="1"/>
  <c r="AD205" i="3"/>
  <c r="AC206" i="3" s="1"/>
  <c r="P203" i="1"/>
  <c r="V166" i="3"/>
  <c r="D167" i="3"/>
  <c r="N166" i="3"/>
  <c r="E167" i="3" s="1"/>
  <c r="F167" i="3" l="1"/>
  <c r="G167" i="3" s="1"/>
  <c r="U165" i="1" s="1"/>
  <c r="Y167" i="3"/>
  <c r="P206" i="3"/>
  <c r="W205" i="3"/>
  <c r="H167" i="3" l="1"/>
  <c r="AA167" i="3" s="1"/>
  <c r="Z168" i="3" s="1"/>
  <c r="R206" i="3"/>
  <c r="T204" i="1" s="1"/>
  <c r="Q206" i="3"/>
  <c r="AB206" i="3"/>
  <c r="R165" i="1" l="1"/>
  <c r="I167" i="3"/>
  <c r="S206" i="3"/>
  <c r="AD206" i="3" s="1"/>
  <c r="AC207" i="3" s="1"/>
  <c r="K167" i="3" l="1"/>
  <c r="S165" i="1"/>
  <c r="P204" i="1"/>
  <c r="T206" i="3"/>
  <c r="U206" i="3" l="1"/>
  <c r="Q204" i="1"/>
  <c r="L167" i="3"/>
  <c r="O167" i="3" s="1"/>
  <c r="X167" i="3" s="1"/>
  <c r="M167" i="3"/>
  <c r="V167" i="3" l="1"/>
  <c r="D168" i="3"/>
  <c r="N167" i="3"/>
  <c r="E168" i="3" s="1"/>
  <c r="P207" i="3"/>
  <c r="W206" i="3"/>
  <c r="F168" i="3" l="1"/>
  <c r="G168" i="3" s="1"/>
  <c r="Y168" i="3"/>
  <c r="Q207" i="3"/>
  <c r="R207" i="3" s="1"/>
  <c r="AB207" i="3"/>
  <c r="I168" i="3" l="1"/>
  <c r="U166" i="1"/>
  <c r="T205" i="1"/>
  <c r="T207" i="3"/>
  <c r="S207" i="3"/>
  <c r="H168" i="3"/>
  <c r="S166" i="1" l="1"/>
  <c r="K168" i="3"/>
  <c r="U207" i="3"/>
  <c r="P208" i="3" s="1"/>
  <c r="W207" i="3"/>
  <c r="Q205" i="1"/>
  <c r="AD207" i="3"/>
  <c r="AC208" i="3" s="1"/>
  <c r="P205" i="1"/>
  <c r="AA168" i="3"/>
  <c r="Z169" i="3" s="1"/>
  <c r="R166" i="1"/>
  <c r="L168" i="3" l="1"/>
  <c r="O168" i="3" s="1"/>
  <c r="X168" i="3" s="1"/>
  <c r="M168" i="3"/>
  <c r="Q208" i="3"/>
  <c r="R208" i="3" s="1"/>
  <c r="T206" i="1" s="1"/>
  <c r="AB208" i="3"/>
  <c r="V168" i="3" l="1"/>
  <c r="N168" i="3"/>
  <c r="E169" i="3" s="1"/>
  <c r="D169" i="3"/>
  <c r="AD208" i="3"/>
  <c r="AC209" i="3" s="1"/>
  <c r="S208" i="3"/>
  <c r="Y169" i="3" l="1"/>
  <c r="G169" i="3" s="1"/>
  <c r="F169" i="3"/>
  <c r="P206" i="1"/>
  <c r="T208" i="3"/>
  <c r="U167" i="1" l="1"/>
  <c r="H169" i="3"/>
  <c r="U208" i="3"/>
  <c r="Q206" i="1"/>
  <c r="R167" i="1" l="1"/>
  <c r="I169" i="3"/>
  <c r="AA169" i="3"/>
  <c r="Z170" i="3" s="1"/>
  <c r="P209" i="3"/>
  <c r="W208" i="3"/>
  <c r="K169" i="3" l="1"/>
  <c r="L169" i="3" s="1"/>
  <c r="O169" i="3" s="1"/>
  <c r="X169" i="3" s="1"/>
  <c r="S167" i="1"/>
  <c r="M169" i="3"/>
  <c r="V169" i="3"/>
  <c r="AB209" i="3"/>
  <c r="R209" i="3" s="1"/>
  <c r="Q209" i="3"/>
  <c r="D170" i="3" l="1"/>
  <c r="N169" i="3"/>
  <c r="E170" i="3" s="1"/>
  <c r="T207" i="1"/>
  <c r="S209" i="3"/>
  <c r="F170" i="3" l="1"/>
  <c r="G170" i="3" s="1"/>
  <c r="Y170" i="3"/>
  <c r="P207" i="1"/>
  <c r="T209" i="3"/>
  <c r="AD209" i="3"/>
  <c r="AC210" i="3" s="1"/>
  <c r="U168" i="1" l="1"/>
  <c r="H170" i="3"/>
  <c r="Q207" i="1"/>
  <c r="U209" i="3"/>
  <c r="W209" i="3"/>
  <c r="P210" i="3" l="1"/>
  <c r="L23" i="1"/>
  <c r="R168" i="1"/>
  <c r="I170" i="3"/>
  <c r="AA170" i="3"/>
  <c r="Z171" i="3" s="1"/>
  <c r="Q210" i="3" l="1"/>
  <c r="AB210" i="3"/>
  <c r="S168" i="1"/>
  <c r="K170" i="3"/>
  <c r="L170" i="3" l="1"/>
  <c r="O170" i="3" s="1"/>
  <c r="X170" i="3" s="1"/>
  <c r="M170" i="3"/>
  <c r="R210" i="3"/>
  <c r="S210" i="3" s="1"/>
  <c r="V170" i="3" l="1"/>
  <c r="N170" i="3"/>
  <c r="E171" i="3" s="1"/>
  <c r="D171" i="3"/>
  <c r="T208" i="1"/>
  <c r="T210" i="3"/>
  <c r="AD210" i="3"/>
  <c r="AC211" i="3" s="1"/>
  <c r="P208" i="1"/>
  <c r="F171" i="3" l="1"/>
  <c r="Y171" i="3"/>
  <c r="G171" i="3" s="1"/>
  <c r="U210" i="3"/>
  <c r="P211" i="3" s="1"/>
  <c r="W210" i="3"/>
  <c r="Q208" i="1"/>
  <c r="U169" i="1" l="1"/>
  <c r="H171" i="3"/>
  <c r="I171" i="3" s="1"/>
  <c r="AB211" i="3"/>
  <c r="Q211" i="3"/>
  <c r="R211" i="3" s="1"/>
  <c r="T209" i="1" s="1"/>
  <c r="K171" i="3" l="1"/>
  <c r="S169" i="1"/>
  <c r="AA171" i="3"/>
  <c r="Z172" i="3" s="1"/>
  <c r="R169" i="1"/>
  <c r="S211" i="3"/>
  <c r="AD211" i="3" s="1"/>
  <c r="AC212" i="3" s="1"/>
  <c r="P209" i="1" l="1"/>
  <c r="T211" i="3"/>
  <c r="L171" i="3"/>
  <c r="O171" i="3" s="1"/>
  <c r="X171" i="3" s="1"/>
  <c r="M171" i="3"/>
  <c r="U211" i="3" l="1"/>
  <c r="Q209" i="1"/>
  <c r="V171" i="3"/>
  <c r="N171" i="3"/>
  <c r="E172" i="3" s="1"/>
  <c r="D172" i="3"/>
  <c r="Y172" i="3" l="1"/>
  <c r="F172" i="3"/>
  <c r="G172" i="3" s="1"/>
  <c r="U170" i="1" s="1"/>
  <c r="P212" i="3"/>
  <c r="W211" i="3"/>
  <c r="H172" i="3" l="1"/>
  <c r="AA172" i="3" s="1"/>
  <c r="Z173" i="3" s="1"/>
  <c r="Q212" i="3"/>
  <c r="AB212" i="3"/>
  <c r="R212" i="3" s="1"/>
  <c r="R170" i="1" l="1"/>
  <c r="I172" i="3"/>
  <c r="T212" i="3"/>
  <c r="T210" i="1"/>
  <c r="S212" i="3"/>
  <c r="K172" i="3" l="1"/>
  <c r="S170" i="1"/>
  <c r="U212" i="3"/>
  <c r="Q210" i="1"/>
  <c r="AD212" i="3"/>
  <c r="AC213" i="3" s="1"/>
  <c r="P210" i="1"/>
  <c r="L172" i="3" l="1"/>
  <c r="O172" i="3" s="1"/>
  <c r="X172" i="3" s="1"/>
  <c r="M172" i="3"/>
  <c r="P213" i="3"/>
  <c r="W212" i="3"/>
  <c r="N172" i="3" l="1"/>
  <c r="E173" i="3" s="1"/>
  <c r="D173" i="3"/>
  <c r="V172" i="3"/>
  <c r="AB213" i="3"/>
  <c r="Q213" i="3"/>
  <c r="R213" i="3" s="1"/>
  <c r="Y173" i="3" l="1"/>
  <c r="F173" i="3"/>
  <c r="G173" i="3" s="1"/>
  <c r="T213" i="3"/>
  <c r="T211" i="1"/>
  <c r="S213" i="3"/>
  <c r="I173" i="3" l="1"/>
  <c r="U171" i="1"/>
  <c r="H173" i="3"/>
  <c r="U213" i="3"/>
  <c r="Q211" i="1"/>
  <c r="AD213" i="3"/>
  <c r="AC214" i="3" s="1"/>
  <c r="P211" i="1"/>
  <c r="K173" i="3" l="1"/>
  <c r="S171" i="1"/>
  <c r="R171" i="1"/>
  <c r="AA173" i="3"/>
  <c r="Z174" i="3" s="1"/>
  <c r="P214" i="3"/>
  <c r="W213" i="3"/>
  <c r="M173" i="3" l="1"/>
  <c r="L173" i="3"/>
  <c r="O173" i="3" s="1"/>
  <c r="X173" i="3" s="1"/>
  <c r="Q214" i="3"/>
  <c r="AB214" i="3"/>
  <c r="R214" i="3" s="1"/>
  <c r="M20" i="1" l="1"/>
  <c r="D174" i="3"/>
  <c r="N173" i="3"/>
  <c r="E174" i="3" s="1"/>
  <c r="V173" i="3"/>
  <c r="T212" i="1"/>
  <c r="S214" i="3"/>
  <c r="Y174" i="3" l="1"/>
  <c r="F174" i="3"/>
  <c r="P212" i="1"/>
  <c r="AD214" i="3"/>
  <c r="AC215" i="3" s="1"/>
  <c r="T214" i="3"/>
  <c r="U214" i="3" l="1"/>
  <c r="Q212" i="1"/>
  <c r="G174" i="3"/>
  <c r="U172" i="1" l="1"/>
  <c r="H174" i="3"/>
  <c r="I174" i="3" s="1"/>
  <c r="P215" i="3"/>
  <c r="W214" i="3"/>
  <c r="K174" i="3" l="1"/>
  <c r="S172" i="1"/>
  <c r="R172" i="1"/>
  <c r="AA174" i="3"/>
  <c r="Z175" i="3" s="1"/>
  <c r="AB215" i="3"/>
  <c r="Q215" i="3"/>
  <c r="R215" i="3"/>
  <c r="M174" i="3" l="1"/>
  <c r="L174" i="3"/>
  <c r="O174" i="3" s="1"/>
  <c r="X174" i="3" s="1"/>
  <c r="S215" i="3"/>
  <c r="T213" i="1"/>
  <c r="D175" i="3" l="1"/>
  <c r="N174" i="3"/>
  <c r="E175" i="3" s="1"/>
  <c r="V174" i="3"/>
  <c r="P213" i="1"/>
  <c r="AD215" i="3"/>
  <c r="AC216" i="3" s="1"/>
  <c r="T215" i="3"/>
  <c r="Y175" i="3" l="1"/>
  <c r="F175" i="3"/>
  <c r="Q213" i="1"/>
  <c r="U215" i="3"/>
  <c r="G175" i="3" l="1"/>
  <c r="P216" i="3"/>
  <c r="W215" i="3"/>
  <c r="U173" i="1" l="1"/>
  <c r="H175" i="3"/>
  <c r="I175" i="3" s="1"/>
  <c r="Q216" i="3"/>
  <c r="R216" i="3" s="1"/>
  <c r="T214" i="1" s="1"/>
  <c r="AB216" i="3"/>
  <c r="S173" i="1" l="1"/>
  <c r="K175" i="3"/>
  <c r="AA175" i="3"/>
  <c r="Z176" i="3" s="1"/>
  <c r="R173" i="1"/>
  <c r="S216" i="3"/>
  <c r="AD216" i="3" s="1"/>
  <c r="AC217" i="3" s="1"/>
  <c r="M175" i="3" l="1"/>
  <c r="L175" i="3"/>
  <c r="O175" i="3" s="1"/>
  <c r="X175" i="3" s="1"/>
  <c r="P214" i="1"/>
  <c r="T216" i="3"/>
  <c r="D176" i="3" l="1"/>
  <c r="N175" i="3"/>
  <c r="E176" i="3" s="1"/>
  <c r="V175" i="3"/>
  <c r="Q214" i="1"/>
  <c r="U216" i="3"/>
  <c r="F176" i="3" l="1"/>
  <c r="Y176" i="3"/>
  <c r="P217" i="3"/>
  <c r="W216" i="3"/>
  <c r="Q217" i="3" l="1"/>
  <c r="AB217" i="3"/>
  <c r="R217" i="3"/>
  <c r="G176" i="3"/>
  <c r="S217" i="3" l="1"/>
  <c r="T215" i="1"/>
  <c r="H176" i="3"/>
  <c r="I176" i="3"/>
  <c r="U174" i="1"/>
  <c r="R174" i="1" l="1"/>
  <c r="AA176" i="3"/>
  <c r="Z177" i="3" s="1"/>
  <c r="K176" i="3"/>
  <c r="S174" i="1"/>
  <c r="P215" i="1"/>
  <c r="T217" i="3"/>
  <c r="AD217" i="3"/>
  <c r="AC218" i="3" s="1"/>
  <c r="M176" i="3" l="1"/>
  <c r="L176" i="3"/>
  <c r="O176" i="3" s="1"/>
  <c r="X176" i="3" s="1"/>
  <c r="Q215" i="1"/>
  <c r="U217" i="3"/>
  <c r="P218" i="3" s="1"/>
  <c r="W217" i="3"/>
  <c r="N176" i="3" l="1"/>
  <c r="E177" i="3" s="1"/>
  <c r="D177" i="3"/>
  <c r="V176" i="3"/>
  <c r="Q218" i="3"/>
  <c r="R218" i="3" s="1"/>
  <c r="AB218" i="3"/>
  <c r="Y177" i="3" l="1"/>
  <c r="F177" i="3"/>
  <c r="T216" i="1"/>
  <c r="S218" i="3"/>
  <c r="G177" i="3" l="1"/>
  <c r="P216" i="1"/>
  <c r="T218" i="3"/>
  <c r="AD218" i="3"/>
  <c r="AC219" i="3" s="1"/>
  <c r="Q216" i="1" l="1"/>
  <c r="U218" i="3"/>
  <c r="U175" i="1"/>
  <c r="H177" i="3"/>
  <c r="I177" i="3"/>
  <c r="S175" i="1"/>
  <c r="K177" i="3"/>
  <c r="AA177" i="3" l="1"/>
  <c r="Z178" i="3" s="1"/>
  <c r="R175" i="1"/>
  <c r="P219" i="3"/>
  <c r="W218" i="3"/>
  <c r="M177" i="3"/>
  <c r="L177" i="3"/>
  <c r="O177" i="3" s="1"/>
  <c r="X177" i="3" s="1"/>
  <c r="AB219" i="3" l="1"/>
  <c r="Q219" i="3"/>
  <c r="R219" i="3"/>
  <c r="V177" i="3"/>
  <c r="N177" i="3"/>
  <c r="E178" i="3" s="1"/>
  <c r="D178" i="3"/>
  <c r="S219" i="3" l="1"/>
  <c r="T217" i="1"/>
  <c r="F178" i="3"/>
  <c r="Y178" i="3"/>
  <c r="P217" i="1" l="1"/>
  <c r="AD219" i="3"/>
  <c r="AC220" i="3" s="1"/>
  <c r="T219" i="3"/>
  <c r="G178" i="3"/>
  <c r="Q217" i="1" l="1"/>
  <c r="U219" i="3"/>
  <c r="H178" i="3"/>
  <c r="U176" i="1"/>
  <c r="P220" i="3" l="1"/>
  <c r="W219" i="3"/>
  <c r="I178" i="3"/>
  <c r="R176" i="1"/>
  <c r="AA178" i="3"/>
  <c r="Z179" i="3" s="1"/>
  <c r="AB220" i="3" l="1"/>
  <c r="Q220" i="3"/>
  <c r="K178" i="3"/>
  <c r="S176" i="1"/>
  <c r="R220" i="3" l="1"/>
  <c r="S220" i="3" s="1"/>
  <c r="L178" i="3"/>
  <c r="O178" i="3" s="1"/>
  <c r="X178" i="3" s="1"/>
  <c r="M178" i="3"/>
  <c r="T220" i="3" l="1"/>
  <c r="T218" i="1"/>
  <c r="AD220" i="3"/>
  <c r="AC221" i="3" s="1"/>
  <c r="P218" i="1"/>
  <c r="V178" i="3"/>
  <c r="N178" i="3"/>
  <c r="E179" i="3" s="1"/>
  <c r="D179" i="3"/>
  <c r="U220" i="3" l="1"/>
  <c r="Q218" i="1"/>
  <c r="Y179" i="3"/>
  <c r="F179" i="3"/>
  <c r="G179" i="3" l="1"/>
  <c r="P221" i="3"/>
  <c r="W220" i="3"/>
  <c r="Q221" i="3" l="1"/>
  <c r="AB221" i="3"/>
  <c r="R221" i="3" s="1"/>
  <c r="U177" i="1"/>
  <c r="H179" i="3"/>
  <c r="I179" i="3" s="1"/>
  <c r="S177" i="1"/>
  <c r="K179" i="3"/>
  <c r="AA179" i="3"/>
  <c r="Z180" i="3" s="1"/>
  <c r="R177" i="1"/>
  <c r="T221" i="3" l="1"/>
  <c r="T219" i="1"/>
  <c r="AD221" i="3"/>
  <c r="AC222" i="3" s="1"/>
  <c r="S221" i="3"/>
  <c r="P219" i="1" s="1"/>
  <c r="V179" i="3"/>
  <c r="L179" i="3"/>
  <c r="O179" i="3" s="1"/>
  <c r="X179" i="3" s="1"/>
  <c r="M179" i="3"/>
  <c r="U221" i="3" l="1"/>
  <c r="W221" i="3" s="1"/>
  <c r="Q219" i="1"/>
  <c r="D180" i="3"/>
  <c r="N179" i="3"/>
  <c r="E180" i="3" s="1"/>
  <c r="L24" i="1" l="1"/>
  <c r="P222" i="3"/>
  <c r="Y180" i="3"/>
  <c r="F180" i="3"/>
  <c r="G180" i="3" s="1"/>
  <c r="AB222" i="3" l="1"/>
  <c r="Q222" i="3"/>
  <c r="R222" i="3" s="1"/>
  <c r="T220" i="1" s="1"/>
  <c r="H180" i="3"/>
  <c r="I180" i="3" s="1"/>
  <c r="U178" i="1"/>
  <c r="AD222" i="3" l="1"/>
  <c r="AC223" i="3" s="1"/>
  <c r="S222" i="3"/>
  <c r="K180" i="3"/>
  <c r="S178" i="1"/>
  <c r="R178" i="1"/>
  <c r="AA180" i="3"/>
  <c r="Z181" i="3" s="1"/>
  <c r="P220" i="1" l="1"/>
  <c r="T222" i="3"/>
  <c r="M180" i="3"/>
  <c r="L180" i="3"/>
  <c r="O180" i="3" s="1"/>
  <c r="X180" i="3" s="1"/>
  <c r="U222" i="3" l="1"/>
  <c r="Q220" i="1"/>
  <c r="V180" i="3"/>
  <c r="N180" i="3"/>
  <c r="E181" i="3" s="1"/>
  <c r="D181" i="3"/>
  <c r="P223" i="3" l="1"/>
  <c r="W222" i="3"/>
  <c r="Y181" i="3"/>
  <c r="F181" i="3"/>
  <c r="AB223" i="3" l="1"/>
  <c r="Q223" i="3"/>
  <c r="R223" i="3" s="1"/>
  <c r="T221" i="1" s="1"/>
  <c r="G181" i="3"/>
  <c r="AD223" i="3" l="1"/>
  <c r="AC224" i="3" s="1"/>
  <c r="S223" i="3"/>
  <c r="H181" i="3"/>
  <c r="I181" i="3" s="1"/>
  <c r="U179" i="1"/>
  <c r="P221" i="1" l="1"/>
  <c r="T223" i="3"/>
  <c r="S179" i="1"/>
  <c r="K181" i="3"/>
  <c r="R179" i="1"/>
  <c r="AA181" i="3"/>
  <c r="Z182" i="3" s="1"/>
  <c r="U223" i="3" l="1"/>
  <c r="Q221" i="1"/>
  <c r="M181" i="3"/>
  <c r="L181" i="3"/>
  <c r="O181" i="3" s="1"/>
  <c r="X181" i="3" s="1"/>
  <c r="P224" i="3" l="1"/>
  <c r="W223" i="3"/>
  <c r="V181" i="3"/>
  <c r="N181" i="3"/>
  <c r="E182" i="3" s="1"/>
  <c r="D182" i="3"/>
  <c r="Q224" i="3" l="1"/>
  <c r="AB224" i="3"/>
  <c r="R224" i="3" s="1"/>
  <c r="F182" i="3"/>
  <c r="G182" i="3" s="1"/>
  <c r="U180" i="1" s="1"/>
  <c r="Y182" i="3"/>
  <c r="T222" i="1" l="1"/>
  <c r="S224" i="3"/>
  <c r="H182" i="3"/>
  <c r="P222" i="1" l="1"/>
  <c r="T224" i="3"/>
  <c r="AD224" i="3"/>
  <c r="AC225" i="3" s="1"/>
  <c r="R180" i="1"/>
  <c r="AA182" i="3"/>
  <c r="Z183" i="3" s="1"/>
  <c r="I182" i="3"/>
  <c r="Q222" i="1" l="1"/>
  <c r="U224" i="3"/>
  <c r="K182" i="3"/>
  <c r="M182" i="3" s="1"/>
  <c r="S180" i="1"/>
  <c r="P225" i="3" l="1"/>
  <c r="W224" i="3"/>
  <c r="N182" i="3"/>
  <c r="E183" i="3" s="1"/>
  <c r="D183" i="3"/>
  <c r="V182" i="3"/>
  <c r="L182" i="3"/>
  <c r="O182" i="3" s="1"/>
  <c r="X182" i="3" s="1"/>
  <c r="AB225" i="3" l="1"/>
  <c r="Q225" i="3"/>
  <c r="R225" i="3" s="1"/>
  <c r="F183" i="3"/>
  <c r="G183" i="3" s="1"/>
  <c r="U181" i="1" s="1"/>
  <c r="Y183" i="3"/>
  <c r="S225" i="3" l="1"/>
  <c r="T223" i="1"/>
  <c r="H183" i="3"/>
  <c r="P223" i="1" l="1"/>
  <c r="AD225" i="3"/>
  <c r="AC226" i="3" s="1"/>
  <c r="T225" i="3"/>
  <c r="AA183" i="3"/>
  <c r="Z184" i="3" s="1"/>
  <c r="R181" i="1"/>
  <c r="I183" i="3"/>
  <c r="Q223" i="1" l="1"/>
  <c r="U225" i="3"/>
  <c r="K183" i="3"/>
  <c r="M183" i="3" s="1"/>
  <c r="S181" i="1"/>
  <c r="P226" i="3" l="1"/>
  <c r="W225" i="3"/>
  <c r="D184" i="3"/>
  <c r="N183" i="3"/>
  <c r="E184" i="3" s="1"/>
  <c r="V183" i="3"/>
  <c r="L183" i="3"/>
  <c r="O183" i="3" s="1"/>
  <c r="X183" i="3" s="1"/>
  <c r="AB226" i="3" l="1"/>
  <c r="S226" i="3" s="1"/>
  <c r="Q226" i="3"/>
  <c r="R226" i="3" s="1"/>
  <c r="F184" i="3"/>
  <c r="Y184" i="3"/>
  <c r="P224" i="1" l="1"/>
  <c r="AD226" i="3"/>
  <c r="AC227" i="3" s="1"/>
  <c r="T226" i="3"/>
  <c r="T224" i="1"/>
  <c r="G184" i="3"/>
  <c r="U226" i="3" l="1"/>
  <c r="Q224" i="1"/>
  <c r="H184" i="3"/>
  <c r="I184" i="3" s="1"/>
  <c r="U182" i="1"/>
  <c r="P227" i="3" l="1"/>
  <c r="W226" i="3"/>
  <c r="R182" i="1"/>
  <c r="AA184" i="3"/>
  <c r="Z185" i="3" s="1"/>
  <c r="K184" i="3"/>
  <c r="S182" i="1"/>
  <c r="AB227" i="3" l="1"/>
  <c r="Q227" i="3"/>
  <c r="R227" i="3" s="1"/>
  <c r="M184" i="3"/>
  <c r="L184" i="3"/>
  <c r="O184" i="3" s="1"/>
  <c r="X184" i="3" s="1"/>
  <c r="AD227" i="3" l="1"/>
  <c r="AC228" i="3" s="1"/>
  <c r="S227" i="3"/>
  <c r="T225" i="1"/>
  <c r="V184" i="3"/>
  <c r="N184" i="3"/>
  <c r="E185" i="3" s="1"/>
  <c r="D185" i="3"/>
  <c r="P225" i="1" l="1"/>
  <c r="T227" i="3"/>
  <c r="Y185" i="3"/>
  <c r="F185" i="3"/>
  <c r="Q225" i="1" l="1"/>
  <c r="U227" i="3"/>
  <c r="G185" i="3"/>
  <c r="P228" i="3" l="1"/>
  <c r="W227" i="3"/>
  <c r="H185" i="3"/>
  <c r="U183" i="1"/>
  <c r="Q228" i="3" l="1"/>
  <c r="R228" i="3" s="1"/>
  <c r="AB228" i="3"/>
  <c r="AA185" i="3"/>
  <c r="Z186" i="3" s="1"/>
  <c r="R183" i="1"/>
  <c r="I185" i="3"/>
  <c r="T228" i="3" l="1"/>
  <c r="T226" i="1"/>
  <c r="AD228" i="3"/>
  <c r="AC229" i="3" s="1"/>
  <c r="S228" i="3"/>
  <c r="P226" i="1" s="1"/>
  <c r="S183" i="1"/>
  <c r="K185" i="3"/>
  <c r="M185" i="3" s="1"/>
  <c r="U228" i="3" l="1"/>
  <c r="Q226" i="1"/>
  <c r="D186" i="3"/>
  <c r="M21" i="1"/>
  <c r="N185" i="3"/>
  <c r="E186" i="3" s="1"/>
  <c r="V185" i="3"/>
  <c r="L185" i="3"/>
  <c r="O185" i="3" s="1"/>
  <c r="X185" i="3" s="1"/>
  <c r="P229" i="3" l="1"/>
  <c r="W228" i="3"/>
  <c r="Y186" i="3"/>
  <c r="F186" i="3"/>
  <c r="G186" i="3" s="1"/>
  <c r="AB229" i="3" l="1"/>
  <c r="Q229" i="3"/>
  <c r="R229" i="3" s="1"/>
  <c r="H186" i="3"/>
  <c r="I186" i="3" s="1"/>
  <c r="U184" i="1"/>
  <c r="T229" i="3" l="1"/>
  <c r="T227" i="1"/>
  <c r="AD229" i="3"/>
  <c r="AC230" i="3" s="1"/>
  <c r="S229" i="3"/>
  <c r="P227" i="1" s="1"/>
  <c r="S184" i="1"/>
  <c r="K186" i="3"/>
  <c r="AA186" i="3"/>
  <c r="Z187" i="3" s="1"/>
  <c r="R184" i="1"/>
  <c r="U229" i="3" l="1"/>
  <c r="Q227" i="1"/>
  <c r="L186" i="3"/>
  <c r="O186" i="3" s="1"/>
  <c r="X186" i="3" s="1"/>
  <c r="M186" i="3"/>
  <c r="V186" i="3" s="1"/>
  <c r="P230" i="3" l="1"/>
  <c r="W229" i="3"/>
  <c r="D187" i="3"/>
  <c r="N186" i="3"/>
  <c r="E187" i="3" s="1"/>
  <c r="AB230" i="3" l="1"/>
  <c r="Q230" i="3"/>
  <c r="R230" i="3" s="1"/>
  <c r="F187" i="3"/>
  <c r="Y187" i="3"/>
  <c r="T228" i="1" l="1"/>
  <c r="AD230" i="3"/>
  <c r="AC231" i="3" s="1"/>
  <c r="S230" i="3"/>
  <c r="G187" i="3"/>
  <c r="P228" i="1" l="1"/>
  <c r="T230" i="3"/>
  <c r="H187" i="3"/>
  <c r="U185" i="1"/>
  <c r="Q228" i="1" l="1"/>
  <c r="U230" i="3"/>
  <c r="I187" i="3"/>
  <c r="R185" i="1"/>
  <c r="AA187" i="3"/>
  <c r="Z188" i="3" s="1"/>
  <c r="P231" i="3" l="1"/>
  <c r="W230" i="3"/>
  <c r="K187" i="3"/>
  <c r="M187" i="3" s="1"/>
  <c r="S185" i="1"/>
  <c r="AB231" i="3" l="1"/>
  <c r="Q231" i="3"/>
  <c r="R231" i="3" s="1"/>
  <c r="T229" i="1" s="1"/>
  <c r="N187" i="3"/>
  <c r="E188" i="3" s="1"/>
  <c r="D188" i="3"/>
  <c r="V187" i="3"/>
  <c r="L187" i="3"/>
  <c r="O187" i="3" s="1"/>
  <c r="X187" i="3" s="1"/>
  <c r="S231" i="3" l="1"/>
  <c r="AD231" i="3" s="1"/>
  <c r="AC232" i="3" s="1"/>
  <c r="F188" i="3"/>
  <c r="Y188" i="3"/>
  <c r="P229" i="1" l="1"/>
  <c r="T231" i="3"/>
  <c r="G188" i="3"/>
  <c r="U231" i="3" l="1"/>
  <c r="Q229" i="1"/>
  <c r="U186" i="1"/>
  <c r="H188" i="3"/>
  <c r="I188" i="3" s="1"/>
  <c r="AA188" i="3" l="1"/>
  <c r="Z189" i="3" s="1"/>
  <c r="R186" i="1"/>
  <c r="P232" i="3"/>
  <c r="W231" i="3"/>
  <c r="S186" i="1"/>
  <c r="K188" i="3"/>
  <c r="Q232" i="3" l="1"/>
  <c r="AB232" i="3"/>
  <c r="R232" i="3" s="1"/>
  <c r="L188" i="3"/>
  <c r="O188" i="3" s="1"/>
  <c r="X188" i="3" s="1"/>
  <c r="M188" i="3"/>
  <c r="T230" i="1" l="1"/>
  <c r="AD232" i="3"/>
  <c r="AC233" i="3" s="1"/>
  <c r="S232" i="3"/>
  <c r="N188" i="3"/>
  <c r="E189" i="3" s="1"/>
  <c r="D189" i="3"/>
  <c r="V188" i="3"/>
  <c r="Y189" i="3" l="1"/>
  <c r="F189" i="3"/>
  <c r="G189" i="3" s="1"/>
  <c r="P230" i="1"/>
  <c r="T232" i="3"/>
  <c r="Q230" i="1" l="1"/>
  <c r="U232" i="3"/>
  <c r="H189" i="3"/>
  <c r="I189" i="3" s="1"/>
  <c r="U187" i="1"/>
  <c r="AA189" i="3" l="1"/>
  <c r="Z190" i="3" s="1"/>
  <c r="R187" i="1"/>
  <c r="P233" i="3"/>
  <c r="W232" i="3"/>
  <c r="K189" i="3"/>
  <c r="S187" i="1"/>
  <c r="AB233" i="3" l="1"/>
  <c r="Q233" i="3"/>
  <c r="R233" i="3" s="1"/>
  <c r="L189" i="3"/>
  <c r="O189" i="3" s="1"/>
  <c r="X189" i="3" s="1"/>
  <c r="M189" i="3"/>
  <c r="D190" i="3"/>
  <c r="AD233" i="3" l="1"/>
  <c r="AC234" i="3" s="1"/>
  <c r="S233" i="3"/>
  <c r="T231" i="1"/>
  <c r="V189" i="3"/>
  <c r="N189" i="3"/>
  <c r="E190" i="3" s="1"/>
  <c r="Y190" i="3"/>
  <c r="F190" i="3"/>
  <c r="G190" i="3" s="1"/>
  <c r="P231" i="1" l="1"/>
  <c r="T233" i="3"/>
  <c r="U188" i="1"/>
  <c r="H190" i="3"/>
  <c r="Q231" i="1" l="1"/>
  <c r="W233" i="3"/>
  <c r="U233" i="3"/>
  <c r="R188" i="1"/>
  <c r="I190" i="3"/>
  <c r="AA190" i="3"/>
  <c r="Z191" i="3" s="1"/>
  <c r="P234" i="3" l="1"/>
  <c r="L25" i="1"/>
  <c r="S188" i="1"/>
  <c r="K190" i="3"/>
  <c r="Q234" i="3" l="1"/>
  <c r="AB234" i="3"/>
  <c r="R234" i="3" s="1"/>
  <c r="L190" i="3"/>
  <c r="O190" i="3" s="1"/>
  <c r="X190" i="3" s="1"/>
  <c r="M190" i="3"/>
  <c r="V190" i="3" s="1"/>
  <c r="T234" i="3" l="1"/>
  <c r="T232" i="1"/>
  <c r="AD234" i="3"/>
  <c r="AC235" i="3" s="1"/>
  <c r="S234" i="3"/>
  <c r="P232" i="1" s="1"/>
  <c r="D191" i="3"/>
  <c r="N190" i="3"/>
  <c r="E191" i="3" s="1"/>
  <c r="U234" i="3" l="1"/>
  <c r="Q232" i="1"/>
  <c r="F191" i="3"/>
  <c r="G191" i="3" s="1"/>
  <c r="Y191" i="3"/>
  <c r="P235" i="3" l="1"/>
  <c r="W234" i="3"/>
  <c r="U189" i="1"/>
  <c r="H191" i="3"/>
  <c r="I191" i="3" s="1"/>
  <c r="Q235" i="3" l="1"/>
  <c r="AB235" i="3"/>
  <c r="K191" i="3"/>
  <c r="S189" i="1"/>
  <c r="AA191" i="3"/>
  <c r="Z192" i="3" s="1"/>
  <c r="R189" i="1"/>
  <c r="R235" i="3" l="1"/>
  <c r="L191" i="3"/>
  <c r="O191" i="3" s="1"/>
  <c r="X191" i="3" s="1"/>
  <c r="M191" i="3"/>
  <c r="V191" i="3" s="1"/>
  <c r="T233" i="1" l="1"/>
  <c r="S235" i="3"/>
  <c r="T235" i="3" s="1"/>
  <c r="N191" i="3"/>
  <c r="E192" i="3" s="1"/>
  <c r="D192" i="3"/>
  <c r="U235" i="3" l="1"/>
  <c r="Q233" i="1"/>
  <c r="AD235" i="3"/>
  <c r="AC236" i="3" s="1"/>
  <c r="P233" i="1"/>
  <c r="Y192" i="3"/>
  <c r="F192" i="3"/>
  <c r="G192" i="3" s="1"/>
  <c r="U190" i="1" s="1"/>
  <c r="P236" i="3" l="1"/>
  <c r="W235" i="3"/>
  <c r="H192" i="3"/>
  <c r="AA192" i="3" s="1"/>
  <c r="Z193" i="3" s="1"/>
  <c r="Q236" i="3" l="1"/>
  <c r="R236" i="3" s="1"/>
  <c r="T234" i="1" s="1"/>
  <c r="AB236" i="3"/>
  <c r="R190" i="1"/>
  <c r="I192" i="3"/>
  <c r="S236" i="3" l="1"/>
  <c r="AD236" i="3" s="1"/>
  <c r="AC237" i="3" s="1"/>
  <c r="K192" i="3"/>
  <c r="S190" i="1"/>
  <c r="P234" i="1" l="1"/>
  <c r="T236" i="3"/>
  <c r="L192" i="3"/>
  <c r="O192" i="3" s="1"/>
  <c r="X192" i="3" s="1"/>
  <c r="M192" i="3"/>
  <c r="V192" i="3"/>
  <c r="U236" i="3" l="1"/>
  <c r="Q234" i="1"/>
  <c r="N192" i="3"/>
  <c r="E193" i="3" s="1"/>
  <c r="D193" i="3"/>
  <c r="P237" i="3" l="1"/>
  <c r="W236" i="3"/>
  <c r="F193" i="3"/>
  <c r="G193" i="3" s="1"/>
  <c r="U191" i="1" s="1"/>
  <c r="Y193" i="3"/>
  <c r="H193" i="3" s="1"/>
  <c r="I193" i="3" s="1"/>
  <c r="Q237" i="3" l="1"/>
  <c r="R237" i="3" s="1"/>
  <c r="AB237" i="3"/>
  <c r="K193" i="3"/>
  <c r="S191" i="1"/>
  <c r="AA193" i="3"/>
  <c r="Z194" i="3" s="1"/>
  <c r="R191" i="1"/>
  <c r="T235" i="1" l="1"/>
  <c r="AD237" i="3"/>
  <c r="AC238" i="3" s="1"/>
  <c r="S237" i="3"/>
  <c r="L193" i="3"/>
  <c r="O193" i="3" s="1"/>
  <c r="X193" i="3" s="1"/>
  <c r="M193" i="3"/>
  <c r="P235" i="1" l="1"/>
  <c r="T237" i="3"/>
  <c r="V193" i="3"/>
  <c r="D194" i="3"/>
  <c r="N193" i="3"/>
  <c r="E194" i="3" s="1"/>
  <c r="Q235" i="1" l="1"/>
  <c r="U237" i="3"/>
  <c r="Y194" i="3"/>
  <c r="F194" i="3"/>
  <c r="G194" i="3" s="1"/>
  <c r="P238" i="3" l="1"/>
  <c r="W237" i="3"/>
  <c r="U192" i="1"/>
  <c r="H194" i="3"/>
  <c r="I194" i="3" s="1"/>
  <c r="AB238" i="3" l="1"/>
  <c r="Q238" i="3"/>
  <c r="R238" i="3" s="1"/>
  <c r="T236" i="1" s="1"/>
  <c r="S192" i="1"/>
  <c r="K194" i="3"/>
  <c r="M194" i="3" s="1"/>
  <c r="AA194" i="3"/>
  <c r="Z195" i="3" s="1"/>
  <c r="R192" i="1"/>
  <c r="AD238" i="3" l="1"/>
  <c r="AC239" i="3" s="1"/>
  <c r="S238" i="3"/>
  <c r="D195" i="3"/>
  <c r="N194" i="3"/>
  <c r="E195" i="3" s="1"/>
  <c r="L194" i="3"/>
  <c r="O194" i="3" s="1"/>
  <c r="X194" i="3" s="1"/>
  <c r="V194" i="3"/>
  <c r="P236" i="1" l="1"/>
  <c r="T238" i="3"/>
  <c r="Y195" i="3"/>
  <c r="F195" i="3"/>
  <c r="U238" i="3" l="1"/>
  <c r="P239" i="3" s="1"/>
  <c r="W238" i="3"/>
  <c r="Q236" i="1"/>
  <c r="G195" i="3"/>
  <c r="H195" i="3" s="1"/>
  <c r="Q239" i="3" l="1"/>
  <c r="R239" i="3" s="1"/>
  <c r="T237" i="1" s="1"/>
  <c r="AB239" i="3"/>
  <c r="I195" i="3"/>
  <c r="U193" i="1"/>
  <c r="R193" i="1"/>
  <c r="AA195" i="3"/>
  <c r="Z196" i="3" s="1"/>
  <c r="AD239" i="3" l="1"/>
  <c r="AC240" i="3" s="1"/>
  <c r="S239" i="3"/>
  <c r="S193" i="1"/>
  <c r="K195" i="3"/>
  <c r="P237" i="1" l="1"/>
  <c r="T239" i="3"/>
  <c r="M195" i="3"/>
  <c r="L195" i="3"/>
  <c r="O195" i="3" s="1"/>
  <c r="X195" i="3" s="1"/>
  <c r="U239" i="3" l="1"/>
  <c r="Q237" i="1"/>
  <c r="N195" i="3"/>
  <c r="E196" i="3" s="1"/>
  <c r="D196" i="3"/>
  <c r="V195" i="3"/>
  <c r="P240" i="3" l="1"/>
  <c r="W239" i="3"/>
  <c r="Y196" i="3"/>
  <c r="F196" i="3"/>
  <c r="Q240" i="3" l="1"/>
  <c r="AB240" i="3"/>
  <c r="R240" i="3" s="1"/>
  <c r="T238" i="1" s="1"/>
  <c r="G196" i="3"/>
  <c r="AD240" i="3" l="1"/>
  <c r="AC241" i="3" s="1"/>
  <c r="S240" i="3"/>
  <c r="H196" i="3"/>
  <c r="U194" i="1"/>
  <c r="P238" i="1" l="1"/>
  <c r="T240" i="3"/>
  <c r="AA196" i="3"/>
  <c r="Z197" i="3" s="1"/>
  <c r="R194" i="1"/>
  <c r="I196" i="3"/>
  <c r="U240" i="3" l="1"/>
  <c r="Q238" i="1"/>
  <c r="S194" i="1"/>
  <c r="K196" i="3"/>
  <c r="P241" i="3" l="1"/>
  <c r="W240" i="3"/>
  <c r="L196" i="3"/>
  <c r="O196" i="3" s="1"/>
  <c r="X196" i="3" s="1"/>
  <c r="M196" i="3"/>
  <c r="V196" i="3" s="1"/>
  <c r="Q241" i="3" l="1"/>
  <c r="R241" i="3" s="1"/>
  <c r="T239" i="1" s="1"/>
  <c r="AB241" i="3"/>
  <c r="N196" i="3"/>
  <c r="E197" i="3" s="1"/>
  <c r="D197" i="3"/>
  <c r="S241" i="3" l="1"/>
  <c r="AD241" i="3" s="1"/>
  <c r="AC242" i="3" s="1"/>
  <c r="F197" i="3"/>
  <c r="Y197" i="3"/>
  <c r="P239" i="1" l="1"/>
  <c r="T241" i="3"/>
  <c r="G197" i="3"/>
  <c r="U241" i="3" l="1"/>
  <c r="P242" i="3" s="1"/>
  <c r="W241" i="3"/>
  <c r="Q239" i="1"/>
  <c r="U195" i="1"/>
  <c r="H197" i="3"/>
  <c r="AB242" i="3" l="1"/>
  <c r="Q242" i="3"/>
  <c r="R242" i="3" s="1"/>
  <c r="R195" i="1"/>
  <c r="I197" i="3"/>
  <c r="AA197" i="3"/>
  <c r="Z198" i="3" s="1"/>
  <c r="S195" i="1"/>
  <c r="K197" i="3"/>
  <c r="S242" i="3" l="1"/>
  <c r="T242" i="3"/>
  <c r="T240" i="1"/>
  <c r="L197" i="3"/>
  <c r="O197" i="3" s="1"/>
  <c r="X197" i="3" s="1"/>
  <c r="M197" i="3"/>
  <c r="U242" i="3" l="1"/>
  <c r="Q240" i="1"/>
  <c r="P240" i="1"/>
  <c r="AD242" i="3"/>
  <c r="AC243" i="3" s="1"/>
  <c r="V197" i="3"/>
  <c r="N197" i="3"/>
  <c r="E198" i="3" s="1"/>
  <c r="D198" i="3"/>
  <c r="M22" i="1"/>
  <c r="P243" i="3" l="1"/>
  <c r="W242" i="3"/>
  <c r="F198" i="3"/>
  <c r="Y198" i="3"/>
  <c r="R243" i="3" l="1"/>
  <c r="T241" i="1" s="1"/>
  <c r="Q243" i="3"/>
  <c r="AB243" i="3"/>
  <c r="G198" i="3"/>
  <c r="H198" i="3" s="1"/>
  <c r="S243" i="3" l="1"/>
  <c r="AD243" i="3" s="1"/>
  <c r="AC244" i="3" s="1"/>
  <c r="U196" i="1"/>
  <c r="I198" i="3"/>
  <c r="R196" i="1"/>
  <c r="AA198" i="3"/>
  <c r="Z199" i="3" s="1"/>
  <c r="P241" i="1" l="1"/>
  <c r="T243" i="3"/>
  <c r="K198" i="3"/>
  <c r="S196" i="1"/>
  <c r="U243" i="3" l="1"/>
  <c r="P244" i="3" s="1"/>
  <c r="W243" i="3"/>
  <c r="Q241" i="1"/>
  <c r="L198" i="3"/>
  <c r="O198" i="3" s="1"/>
  <c r="X198" i="3" s="1"/>
  <c r="M198" i="3"/>
  <c r="V198" i="3" s="1"/>
  <c r="AB244" i="3" l="1"/>
  <c r="Q244" i="3"/>
  <c r="R244" i="3" s="1"/>
  <c r="D199" i="3"/>
  <c r="N198" i="3"/>
  <c r="E199" i="3" s="1"/>
  <c r="S244" i="3" l="1"/>
  <c r="T244" i="3"/>
  <c r="T242" i="1"/>
  <c r="F199" i="3"/>
  <c r="G199" i="3" s="1"/>
  <c r="U197" i="1" s="1"/>
  <c r="Y199" i="3"/>
  <c r="W244" i="3" l="1"/>
  <c r="U244" i="3"/>
  <c r="P245" i="3" s="1"/>
  <c r="Q242" i="1"/>
  <c r="P242" i="1"/>
  <c r="AD244" i="3"/>
  <c r="AC245" i="3" s="1"/>
  <c r="H199" i="3"/>
  <c r="AA199" i="3" s="1"/>
  <c r="Z200" i="3" s="1"/>
  <c r="Q245" i="3" l="1"/>
  <c r="AB245" i="3"/>
  <c r="R245" i="3"/>
  <c r="R197" i="1"/>
  <c r="I199" i="3"/>
  <c r="T243" i="1" l="1"/>
  <c r="S245" i="3"/>
  <c r="T245" i="3" s="1"/>
  <c r="K199" i="3"/>
  <c r="S197" i="1"/>
  <c r="U245" i="3" l="1"/>
  <c r="Q243" i="1"/>
  <c r="AD245" i="3"/>
  <c r="AC246" i="3" s="1"/>
  <c r="P243" i="1"/>
  <c r="L199" i="3"/>
  <c r="O199" i="3" s="1"/>
  <c r="X199" i="3" s="1"/>
  <c r="M199" i="3"/>
  <c r="V199" i="3" s="1"/>
  <c r="W245" i="3" l="1"/>
  <c r="L26" i="1"/>
  <c r="P246" i="3"/>
  <c r="N199" i="3"/>
  <c r="E200" i="3" s="1"/>
  <c r="D200" i="3"/>
  <c r="AB246" i="3" l="1"/>
  <c r="R246" i="3" s="1"/>
  <c r="Q246" i="3"/>
  <c r="Y200" i="3"/>
  <c r="F200" i="3"/>
  <c r="G200" i="3" s="1"/>
  <c r="U198" i="1" s="1"/>
  <c r="T244" i="1" l="1"/>
  <c r="S246" i="3"/>
  <c r="T246" i="3" s="1"/>
  <c r="H200" i="3"/>
  <c r="AA200" i="3" s="1"/>
  <c r="Z201" i="3" s="1"/>
  <c r="W246" i="3" l="1"/>
  <c r="Q244" i="1"/>
  <c r="U246" i="3"/>
  <c r="P247" i="3" s="1"/>
  <c r="AD246" i="3"/>
  <c r="AC247" i="3" s="1"/>
  <c r="P244" i="1"/>
  <c r="R198" i="1"/>
  <c r="I200" i="3"/>
  <c r="Q247" i="3" l="1"/>
  <c r="R247" i="3" s="1"/>
  <c r="AB247" i="3"/>
  <c r="K200" i="3"/>
  <c r="S198" i="1"/>
  <c r="T245" i="1" l="1"/>
  <c r="AD247" i="3"/>
  <c r="AC248" i="3" s="1"/>
  <c r="S247" i="3"/>
  <c r="L200" i="3"/>
  <c r="O200" i="3" s="1"/>
  <c r="X200" i="3" s="1"/>
  <c r="M200" i="3"/>
  <c r="P245" i="1" l="1"/>
  <c r="T247" i="3"/>
  <c r="V200" i="3"/>
  <c r="N200" i="3"/>
  <c r="E201" i="3" s="1"/>
  <c r="D201" i="3"/>
  <c r="Q245" i="1" l="1"/>
  <c r="W247" i="3"/>
  <c r="U247" i="3"/>
  <c r="P248" i="3" s="1"/>
  <c r="Y201" i="3"/>
  <c r="F201" i="3"/>
  <c r="G201" i="3" s="1"/>
  <c r="Q248" i="3" l="1"/>
  <c r="R248" i="3" s="1"/>
  <c r="T246" i="1" s="1"/>
  <c r="AB248" i="3"/>
  <c r="H201" i="3"/>
  <c r="U199" i="1"/>
  <c r="S248" i="3" l="1"/>
  <c r="AD248" i="3" s="1"/>
  <c r="AC249" i="3" s="1"/>
  <c r="R199" i="1"/>
  <c r="I201" i="3"/>
  <c r="AA201" i="3"/>
  <c r="Z202" i="3" s="1"/>
  <c r="P246" i="1" l="1"/>
  <c r="T248" i="3"/>
  <c r="S199" i="1"/>
  <c r="K201" i="3"/>
  <c r="U248" i="3" l="1"/>
  <c r="Q246" i="1"/>
  <c r="L201" i="3"/>
  <c r="O201" i="3" s="1"/>
  <c r="X201" i="3" s="1"/>
  <c r="M201" i="3"/>
  <c r="V201" i="3" s="1"/>
  <c r="N201" i="3"/>
  <c r="E202" i="3" s="1"/>
  <c r="D202" i="3"/>
  <c r="W248" i="3" l="1"/>
  <c r="P249" i="3"/>
  <c r="Y202" i="3"/>
  <c r="F202" i="3"/>
  <c r="G202" i="3" s="1"/>
  <c r="U200" i="1" s="1"/>
  <c r="AB249" i="3" l="1"/>
  <c r="R249" i="3" s="1"/>
  <c r="Q249" i="3"/>
  <c r="H202" i="3"/>
  <c r="AA202" i="3" s="1"/>
  <c r="Z203" i="3" s="1"/>
  <c r="T247" i="1" l="1"/>
  <c r="S249" i="3"/>
  <c r="R200" i="1"/>
  <c r="I202" i="3"/>
  <c r="P247" i="1" l="1"/>
  <c r="AD249" i="3"/>
  <c r="AC250" i="3" s="1"/>
  <c r="T249" i="3"/>
  <c r="K202" i="3"/>
  <c r="M202" i="3" s="1"/>
  <c r="S200" i="1"/>
  <c r="Q247" i="1" l="1"/>
  <c r="U249" i="3"/>
  <c r="P250" i="3" s="1"/>
  <c r="W249" i="3"/>
  <c r="D203" i="3"/>
  <c r="N202" i="3"/>
  <c r="E203" i="3" s="1"/>
  <c r="L202" i="3"/>
  <c r="O202" i="3" s="1"/>
  <c r="X202" i="3" s="1"/>
  <c r="V202" i="3"/>
  <c r="Q250" i="3" l="1"/>
  <c r="R250" i="3" s="1"/>
  <c r="AB250" i="3"/>
  <c r="Y203" i="3"/>
  <c r="F203" i="3"/>
  <c r="T250" i="3" l="1"/>
  <c r="T248" i="1"/>
  <c r="AD250" i="3"/>
  <c r="AC251" i="3" s="1"/>
  <c r="S250" i="3"/>
  <c r="P248" i="1" s="1"/>
  <c r="G203" i="3"/>
  <c r="U250" i="3" l="1"/>
  <c r="Q248" i="1"/>
  <c r="U201" i="1"/>
  <c r="H203" i="3"/>
  <c r="P251" i="3" l="1"/>
  <c r="W250" i="3"/>
  <c r="AA203" i="3"/>
  <c r="Z204" i="3" s="1"/>
  <c r="R201" i="1"/>
  <c r="I203" i="3"/>
  <c r="R251" i="3" l="1"/>
  <c r="T249" i="1" s="1"/>
  <c r="AB251" i="3"/>
  <c r="Q251" i="3"/>
  <c r="S201" i="1"/>
  <c r="K203" i="3"/>
  <c r="S251" i="3" l="1"/>
  <c r="AD251" i="3" s="1"/>
  <c r="AC252" i="3" s="1"/>
  <c r="M203" i="3"/>
  <c r="L203" i="3"/>
  <c r="O203" i="3" s="1"/>
  <c r="X203" i="3" s="1"/>
  <c r="P249" i="1" l="1"/>
  <c r="T251" i="3"/>
  <c r="V203" i="3"/>
  <c r="N203" i="3"/>
  <c r="E204" i="3" s="1"/>
  <c r="D204" i="3"/>
  <c r="Y204" i="3"/>
  <c r="F204" i="3"/>
  <c r="U251" i="3" l="1"/>
  <c r="Q249" i="1"/>
  <c r="G204" i="3"/>
  <c r="H204" i="3" s="1"/>
  <c r="P252" i="3" l="1"/>
  <c r="W251" i="3"/>
  <c r="I204" i="3"/>
  <c r="U202" i="1"/>
  <c r="AA204" i="3"/>
  <c r="Z205" i="3" s="1"/>
  <c r="R202" i="1"/>
  <c r="Q252" i="3" l="1"/>
  <c r="R252" i="3" s="1"/>
  <c r="AB252" i="3"/>
  <c r="K204" i="3"/>
  <c r="S202" i="1"/>
  <c r="T250" i="1" l="1"/>
  <c r="S252" i="3"/>
  <c r="T252" i="3" s="1"/>
  <c r="L204" i="3"/>
  <c r="O204" i="3" s="1"/>
  <c r="X204" i="3" s="1"/>
  <c r="M204" i="3"/>
  <c r="W252" i="3" l="1"/>
  <c r="U252" i="3"/>
  <c r="P253" i="3" s="1"/>
  <c r="Q250" i="1"/>
  <c r="AD252" i="3"/>
  <c r="AC253" i="3" s="1"/>
  <c r="P250" i="1"/>
  <c r="D205" i="3"/>
  <c r="N204" i="3"/>
  <c r="E205" i="3" s="1"/>
  <c r="V204" i="3"/>
  <c r="AB253" i="3" l="1"/>
  <c r="Q253" i="3"/>
  <c r="R253" i="3"/>
  <c r="Y205" i="3"/>
  <c r="F205" i="3"/>
  <c r="S253" i="3" l="1"/>
  <c r="T251" i="1"/>
  <c r="G205" i="3"/>
  <c r="P251" i="1" l="1"/>
  <c r="AD253" i="3"/>
  <c r="AC254" i="3" s="1"/>
  <c r="T253" i="3"/>
  <c r="H205" i="3"/>
  <c r="U203" i="1"/>
  <c r="Q251" i="1" l="1"/>
  <c r="U253" i="3"/>
  <c r="I205" i="3"/>
  <c r="R203" i="1"/>
  <c r="AA205" i="3"/>
  <c r="Z206" i="3" s="1"/>
  <c r="P254" i="3" l="1"/>
  <c r="W253" i="3"/>
  <c r="S203" i="1"/>
  <c r="K205" i="3"/>
  <c r="AB254" i="3" l="1"/>
  <c r="Q254" i="3"/>
  <c r="R254" i="3"/>
  <c r="M205" i="3"/>
  <c r="L205" i="3"/>
  <c r="O205" i="3" s="1"/>
  <c r="X205" i="3" s="1"/>
  <c r="AD254" i="3" l="1"/>
  <c r="AC255" i="3" s="1"/>
  <c r="S254" i="3"/>
  <c r="T252" i="1"/>
  <c r="D206" i="3"/>
  <c r="N205" i="3"/>
  <c r="E206" i="3" s="1"/>
  <c r="V205" i="3"/>
  <c r="P252" i="1" l="1"/>
  <c r="T254" i="3"/>
  <c r="Y206" i="3"/>
  <c r="F206" i="3"/>
  <c r="G206" i="3" s="1"/>
  <c r="Q252" i="1" l="1"/>
  <c r="U254" i="3"/>
  <c r="P255" i="3" s="1"/>
  <c r="W254" i="3"/>
  <c r="U204" i="1"/>
  <c r="H206" i="3"/>
  <c r="I206" i="3" s="1"/>
  <c r="AB255" i="3" l="1"/>
  <c r="Q255" i="3"/>
  <c r="R255" i="3" s="1"/>
  <c r="S204" i="1"/>
  <c r="K206" i="3"/>
  <c r="AA206" i="3"/>
  <c r="Z207" i="3" s="1"/>
  <c r="R204" i="1"/>
  <c r="T255" i="3" l="1"/>
  <c r="T253" i="1"/>
  <c r="S255" i="3"/>
  <c r="M206" i="3"/>
  <c r="L206" i="3"/>
  <c r="O206" i="3" s="1"/>
  <c r="X206" i="3" s="1"/>
  <c r="Q253" i="1" l="1"/>
  <c r="U255" i="3"/>
  <c r="P253" i="1"/>
  <c r="AD255" i="3"/>
  <c r="AC256" i="3" s="1"/>
  <c r="N206" i="3"/>
  <c r="E207" i="3" s="1"/>
  <c r="D207" i="3"/>
  <c r="V206" i="3"/>
  <c r="W255" i="3" l="1"/>
  <c r="P256" i="3"/>
  <c r="F207" i="3"/>
  <c r="Y207" i="3"/>
  <c r="R256" i="3" l="1"/>
  <c r="T254" i="1" s="1"/>
  <c r="Q256" i="3"/>
  <c r="AB256" i="3"/>
  <c r="G207" i="3"/>
  <c r="H207" i="3" s="1"/>
  <c r="S256" i="3" l="1"/>
  <c r="AD256" i="3" s="1"/>
  <c r="AC257" i="3" s="1"/>
  <c r="R205" i="1"/>
  <c r="AA207" i="3"/>
  <c r="Z208" i="3" s="1"/>
  <c r="I207" i="3"/>
  <c r="U205" i="1"/>
  <c r="P254" i="1" l="1"/>
  <c r="T256" i="3"/>
  <c r="S205" i="1"/>
  <c r="K207" i="3"/>
  <c r="W256" i="3" l="1"/>
  <c r="Q254" i="1"/>
  <c r="U256" i="3"/>
  <c r="P257" i="3" s="1"/>
  <c r="L207" i="3"/>
  <c r="O207" i="3" s="1"/>
  <c r="X207" i="3" s="1"/>
  <c r="M207" i="3"/>
  <c r="V207" i="3" s="1"/>
  <c r="AB257" i="3" l="1"/>
  <c r="Q257" i="3"/>
  <c r="R257" i="3" s="1"/>
  <c r="T255" i="1" s="1"/>
  <c r="N207" i="3"/>
  <c r="E208" i="3" s="1"/>
  <c r="D208" i="3"/>
  <c r="AD257" i="3" l="1"/>
  <c r="AC258" i="3" s="1"/>
  <c r="S257" i="3"/>
  <c r="F208" i="3"/>
  <c r="Y208" i="3"/>
  <c r="P255" i="1" l="1"/>
  <c r="T257" i="3"/>
  <c r="G208" i="3"/>
  <c r="U257" i="3" l="1"/>
  <c r="Q255" i="1"/>
  <c r="U206" i="1"/>
  <c r="H208" i="3"/>
  <c r="I208" i="3" s="1"/>
  <c r="P258" i="3" l="1"/>
  <c r="L27" i="1"/>
  <c r="W257" i="3"/>
  <c r="AA208" i="3"/>
  <c r="Z209" i="3" s="1"/>
  <c r="R206" i="1"/>
  <c r="K208" i="3"/>
  <c r="S206" i="1"/>
  <c r="AB258" i="3" l="1"/>
  <c r="Q258" i="3"/>
  <c r="R258" i="3" s="1"/>
  <c r="T256" i="1" s="1"/>
  <c r="L208" i="3"/>
  <c r="O208" i="3" s="1"/>
  <c r="X208" i="3" s="1"/>
  <c r="M208" i="3"/>
  <c r="N208" i="3"/>
  <c r="E209" i="3" s="1"/>
  <c r="S258" i="3" l="1"/>
  <c r="AD258" i="3" s="1"/>
  <c r="AC259" i="3" s="1"/>
  <c r="V208" i="3"/>
  <c r="D209" i="3"/>
  <c r="F209" i="3"/>
  <c r="Y209" i="3"/>
  <c r="P256" i="1" l="1"/>
  <c r="T258" i="3"/>
  <c r="G209" i="3"/>
  <c r="U207" i="1" s="1"/>
  <c r="H209" i="3"/>
  <c r="I209" i="3" s="1"/>
  <c r="U258" i="3" l="1"/>
  <c r="Q256" i="1"/>
  <c r="S207" i="1"/>
  <c r="K209" i="3"/>
  <c r="AA209" i="3"/>
  <c r="Z210" i="3" s="1"/>
  <c r="R207" i="1"/>
  <c r="P259" i="3" l="1"/>
  <c r="W258" i="3"/>
  <c r="M209" i="3"/>
  <c r="L209" i="3"/>
  <c r="O209" i="3" s="1"/>
  <c r="X209" i="3" s="1"/>
  <c r="Q259" i="3" l="1"/>
  <c r="AB259" i="3"/>
  <c r="R259" i="3"/>
  <c r="T257" i="1" s="1"/>
  <c r="V209" i="3"/>
  <c r="M23" i="1"/>
  <c r="N209" i="3"/>
  <c r="E210" i="3" s="1"/>
  <c r="D210" i="3"/>
  <c r="S259" i="3" l="1"/>
  <c r="AD259" i="3" s="1"/>
  <c r="AC260" i="3" s="1"/>
  <c r="F210" i="3"/>
  <c r="Y210" i="3"/>
  <c r="P257" i="1" l="1"/>
  <c r="T259" i="3"/>
  <c r="G210" i="3"/>
  <c r="U259" i="3" l="1"/>
  <c r="Q257" i="1"/>
  <c r="H210" i="3"/>
  <c r="U208" i="1"/>
  <c r="P260" i="3" l="1"/>
  <c r="W259" i="3"/>
  <c r="AA210" i="3"/>
  <c r="Z211" i="3" s="1"/>
  <c r="R208" i="1"/>
  <c r="I210" i="3"/>
  <c r="AB260" i="3" l="1"/>
  <c r="Q260" i="3"/>
  <c r="R260" i="3" s="1"/>
  <c r="S208" i="1"/>
  <c r="K210" i="3"/>
  <c r="M210" i="3" s="1"/>
  <c r="T260" i="3" l="1"/>
  <c r="T258" i="1"/>
  <c r="S260" i="3"/>
  <c r="N210" i="3"/>
  <c r="E211" i="3" s="1"/>
  <c r="D211" i="3"/>
  <c r="V210" i="3"/>
  <c r="L210" i="3"/>
  <c r="O210" i="3" s="1"/>
  <c r="X210" i="3" s="1"/>
  <c r="U260" i="3" l="1"/>
  <c r="Q258" i="1"/>
  <c r="AD260" i="3"/>
  <c r="AC261" i="3" s="1"/>
  <c r="P258" i="1"/>
  <c r="F211" i="3"/>
  <c r="Y211" i="3"/>
  <c r="P261" i="3" l="1"/>
  <c r="W260" i="3"/>
  <c r="G211" i="3"/>
  <c r="AB261" i="3" l="1"/>
  <c r="Q261" i="3"/>
  <c r="R261" i="3" s="1"/>
  <c r="T259" i="1" s="1"/>
  <c r="H211" i="3"/>
  <c r="U209" i="1"/>
  <c r="S261" i="3" l="1"/>
  <c r="AD261" i="3" s="1"/>
  <c r="AC262" i="3" s="1"/>
  <c r="R209" i="1"/>
  <c r="AA211" i="3"/>
  <c r="Z212" i="3" s="1"/>
  <c r="I211" i="3"/>
  <c r="P259" i="1" l="1"/>
  <c r="T261" i="3"/>
  <c r="S209" i="1"/>
  <c r="K211" i="3"/>
  <c r="U261" i="3" l="1"/>
  <c r="Q259" i="1"/>
  <c r="M211" i="3"/>
  <c r="L211" i="3"/>
  <c r="O211" i="3" s="1"/>
  <c r="X211" i="3" s="1"/>
  <c r="P262" i="3" l="1"/>
  <c r="W261" i="3"/>
  <c r="V211" i="3"/>
  <c r="D212" i="3"/>
  <c r="N211" i="3"/>
  <c r="E212" i="3" s="1"/>
  <c r="Q262" i="3" l="1"/>
  <c r="AB262" i="3"/>
  <c r="R262" i="3"/>
  <c r="Y212" i="3"/>
  <c r="F212" i="3"/>
  <c r="S262" i="3" l="1"/>
  <c r="T260" i="1"/>
  <c r="G212" i="3"/>
  <c r="H212" i="3" s="1"/>
  <c r="P260" i="1" l="1"/>
  <c r="AD262" i="3"/>
  <c r="AC263" i="3" s="1"/>
  <c r="T262" i="3"/>
  <c r="R210" i="1"/>
  <c r="AA212" i="3"/>
  <c r="Z213" i="3" s="1"/>
  <c r="I212" i="3"/>
  <c r="U210" i="1"/>
  <c r="Q260" i="1" l="1"/>
  <c r="U262" i="3"/>
  <c r="S210" i="1"/>
  <c r="K212" i="3"/>
  <c r="P263" i="3" l="1"/>
  <c r="W262" i="3"/>
  <c r="M212" i="3"/>
  <c r="V212" i="3" s="1"/>
  <c r="L212" i="3"/>
  <c r="O212" i="3" s="1"/>
  <c r="X212" i="3" s="1"/>
  <c r="AB263" i="3" l="1"/>
  <c r="R263" i="3" s="1"/>
  <c r="Q263" i="3"/>
  <c r="D213" i="3"/>
  <c r="N212" i="3"/>
  <c r="E213" i="3" s="1"/>
  <c r="S263" i="3" l="1"/>
  <c r="T261" i="1"/>
  <c r="Y213" i="3"/>
  <c r="F213" i="3"/>
  <c r="G213" i="3" s="1"/>
  <c r="P261" i="1" l="1"/>
  <c r="T263" i="3"/>
  <c r="AD263" i="3"/>
  <c r="AC264" i="3" s="1"/>
  <c r="H213" i="3"/>
  <c r="I213" i="3" s="1"/>
  <c r="U211" i="1"/>
  <c r="Q261" i="1" l="1"/>
  <c r="U263" i="3"/>
  <c r="P264" i="3" s="1"/>
  <c r="W263" i="3"/>
  <c r="AA213" i="3"/>
  <c r="Z214" i="3" s="1"/>
  <c r="R211" i="1"/>
  <c r="K213" i="3"/>
  <c r="S211" i="1"/>
  <c r="AB264" i="3" l="1"/>
  <c r="R264" i="3" s="1"/>
  <c r="T262" i="1" s="1"/>
  <c r="Q264" i="3"/>
  <c r="L213" i="3"/>
  <c r="O213" i="3" s="1"/>
  <c r="X213" i="3" s="1"/>
  <c r="M213" i="3"/>
  <c r="S264" i="3" l="1"/>
  <c r="AD264" i="3" s="1"/>
  <c r="AC265" i="3" s="1"/>
  <c r="V213" i="3"/>
  <c r="N213" i="3"/>
  <c r="E214" i="3" s="1"/>
  <c r="D214" i="3"/>
  <c r="P262" i="1" l="1"/>
  <c r="T264" i="3"/>
  <c r="Y214" i="3"/>
  <c r="F214" i="3"/>
  <c r="G214" i="3" s="1"/>
  <c r="U264" i="3" l="1"/>
  <c r="Q262" i="1"/>
  <c r="U212" i="1"/>
  <c r="H214" i="3"/>
  <c r="P265" i="3" l="1"/>
  <c r="W264" i="3"/>
  <c r="R212" i="1"/>
  <c r="AA214" i="3"/>
  <c r="Z215" i="3" s="1"/>
  <c r="I214" i="3"/>
  <c r="S212" i="1"/>
  <c r="K214" i="3"/>
  <c r="AB265" i="3" l="1"/>
  <c r="Q265" i="3"/>
  <c r="L214" i="3"/>
  <c r="O214" i="3" s="1"/>
  <c r="X214" i="3" s="1"/>
  <c r="M214" i="3"/>
  <c r="V214" i="3" s="1"/>
  <c r="R265" i="3" l="1"/>
  <c r="D215" i="3"/>
  <c r="N214" i="3"/>
  <c r="E215" i="3" s="1"/>
  <c r="T263" i="1" l="1"/>
  <c r="S265" i="3"/>
  <c r="T265" i="3" s="1"/>
  <c r="Y215" i="3"/>
  <c r="F215" i="3"/>
  <c r="G215" i="3" s="1"/>
  <c r="U265" i="3" l="1"/>
  <c r="Q263" i="1"/>
  <c r="AD265" i="3"/>
  <c r="AC266" i="3" s="1"/>
  <c r="P263" i="1"/>
  <c r="H215" i="3"/>
  <c r="I215" i="3" s="1"/>
  <c r="U213" i="1"/>
  <c r="P266" i="3" l="1"/>
  <c r="W265" i="3"/>
  <c r="K215" i="3"/>
  <c r="S213" i="1"/>
  <c r="R213" i="1"/>
  <c r="AA215" i="3"/>
  <c r="Z216" i="3" s="1"/>
  <c r="Q266" i="3" l="1"/>
  <c r="AB266" i="3"/>
  <c r="R266" i="3" s="1"/>
  <c r="L215" i="3"/>
  <c r="O215" i="3" s="1"/>
  <c r="X215" i="3" s="1"/>
  <c r="M215" i="3"/>
  <c r="T264" i="1" l="1"/>
  <c r="S266" i="3"/>
  <c r="T266" i="3" s="1"/>
  <c r="V215" i="3"/>
  <c r="D216" i="3"/>
  <c r="N215" i="3"/>
  <c r="E216" i="3" s="1"/>
  <c r="U266" i="3" l="1"/>
  <c r="Q264" i="1"/>
  <c r="AD266" i="3"/>
  <c r="AC267" i="3" s="1"/>
  <c r="P264" i="1"/>
  <c r="F216" i="3"/>
  <c r="Y216" i="3"/>
  <c r="P267" i="3" l="1"/>
  <c r="W266" i="3"/>
  <c r="G216" i="3"/>
  <c r="U214" i="1" s="1"/>
  <c r="H216" i="3"/>
  <c r="I216" i="3" s="1"/>
  <c r="AB267" i="3" l="1"/>
  <c r="Q267" i="3"/>
  <c r="R267" i="3" s="1"/>
  <c r="K216" i="3"/>
  <c r="S214" i="1"/>
  <c r="AA216" i="3"/>
  <c r="Z217" i="3" s="1"/>
  <c r="R214" i="1"/>
  <c r="T267" i="3" l="1"/>
  <c r="T265" i="1"/>
  <c r="S267" i="3"/>
  <c r="L216" i="3"/>
  <c r="O216" i="3" s="1"/>
  <c r="X216" i="3" s="1"/>
  <c r="M216" i="3"/>
  <c r="Q265" i="1" l="1"/>
  <c r="U267" i="3"/>
  <c r="P268" i="3" s="1"/>
  <c r="W267" i="3"/>
  <c r="P265" i="1"/>
  <c r="AD267" i="3"/>
  <c r="AC268" i="3" s="1"/>
  <c r="V216" i="3"/>
  <c r="N216" i="3"/>
  <c r="E217" i="3" s="1"/>
  <c r="D217" i="3"/>
  <c r="Q268" i="3" l="1"/>
  <c r="AB268" i="3"/>
  <c r="Y217" i="3"/>
  <c r="F217" i="3"/>
  <c r="G217" i="3" s="1"/>
  <c r="U215" i="1" s="1"/>
  <c r="R268" i="3" l="1"/>
  <c r="S268" i="3" s="1"/>
  <c r="H217" i="3"/>
  <c r="AA217" i="3" s="1"/>
  <c r="Z218" i="3" s="1"/>
  <c r="T266" i="1" l="1"/>
  <c r="T268" i="3"/>
  <c r="AD268" i="3"/>
  <c r="AC269" i="3" s="1"/>
  <c r="P266" i="1"/>
  <c r="R215" i="1"/>
  <c r="I217" i="3"/>
  <c r="W268" i="3" l="1"/>
  <c r="Q266" i="1"/>
  <c r="U268" i="3"/>
  <c r="P269" i="3" s="1"/>
  <c r="S215" i="1"/>
  <c r="K217" i="3"/>
  <c r="Q269" i="3" l="1"/>
  <c r="R269" i="3" s="1"/>
  <c r="AB269" i="3"/>
  <c r="L217" i="3"/>
  <c r="O217" i="3" s="1"/>
  <c r="X217" i="3" s="1"/>
  <c r="M217" i="3"/>
  <c r="V217" i="3" s="1"/>
  <c r="T267" i="1" l="1"/>
  <c r="S269" i="3"/>
  <c r="T269" i="3" s="1"/>
  <c r="N217" i="3"/>
  <c r="E218" i="3" s="1"/>
  <c r="D218" i="3"/>
  <c r="Q267" i="1" l="1"/>
  <c r="U269" i="3"/>
  <c r="AD269" i="3"/>
  <c r="AC270" i="3" s="1"/>
  <c r="P267" i="1"/>
  <c r="F218" i="3"/>
  <c r="Y218" i="3"/>
  <c r="W269" i="3" l="1"/>
  <c r="L28" i="1"/>
  <c r="P270" i="3"/>
  <c r="G218" i="3"/>
  <c r="AB270" i="3" l="1"/>
  <c r="Q270" i="3"/>
  <c r="R270" i="3" s="1"/>
  <c r="U216" i="1"/>
  <c r="H218" i="3"/>
  <c r="I218" i="3"/>
  <c r="S270" i="3" l="1"/>
  <c r="T268" i="1"/>
  <c r="T270" i="3"/>
  <c r="AA218" i="3"/>
  <c r="Z219" i="3" s="1"/>
  <c r="R216" i="1"/>
  <c r="U270" i="3"/>
  <c r="W270" i="3" s="1"/>
  <c r="Q268" i="1"/>
  <c r="K218" i="3"/>
  <c r="S216" i="1"/>
  <c r="P271" i="3"/>
  <c r="P268" i="1" l="1"/>
  <c r="AD270" i="3"/>
  <c r="AC271" i="3" s="1"/>
  <c r="Q271" i="3" s="1"/>
  <c r="L218" i="3"/>
  <c r="O218" i="3" s="1"/>
  <c r="X218" i="3" s="1"/>
  <c r="M218" i="3"/>
  <c r="V218" i="3" s="1"/>
  <c r="AB271" i="3"/>
  <c r="D219" i="3" l="1"/>
  <c r="N218" i="3"/>
  <c r="E219" i="3" s="1"/>
  <c r="R271" i="3"/>
  <c r="S271" i="3" l="1"/>
  <c r="T269" i="1"/>
  <c r="Y219" i="3"/>
  <c r="F219" i="3"/>
  <c r="G219" i="3" l="1"/>
  <c r="T271" i="3"/>
  <c r="AD271" i="3"/>
  <c r="AC272" i="3" s="1"/>
  <c r="P269" i="1"/>
  <c r="U217" i="1" l="1"/>
  <c r="H219" i="3"/>
  <c r="U271" i="3"/>
  <c r="Q269" i="1"/>
  <c r="AA219" i="3" l="1"/>
  <c r="Z220" i="3" s="1"/>
  <c r="R217" i="1"/>
  <c r="I219" i="3"/>
  <c r="K219" i="3" s="1"/>
  <c r="P272" i="3"/>
  <c r="W271" i="3"/>
  <c r="S217" i="1"/>
  <c r="Q272" i="3" l="1"/>
  <c r="AB272" i="3"/>
  <c r="L219" i="3"/>
  <c r="O219" i="3" s="1"/>
  <c r="X219" i="3" s="1"/>
  <c r="M219" i="3"/>
  <c r="V219" i="3" s="1"/>
  <c r="R272" i="3" l="1"/>
  <c r="D220" i="3"/>
  <c r="N219" i="3"/>
  <c r="E220" i="3" s="1"/>
  <c r="T270" i="1" l="1"/>
  <c r="S272" i="3"/>
  <c r="F220" i="3"/>
  <c r="G220" i="3" s="1"/>
  <c r="U218" i="1" s="1"/>
  <c r="Y220" i="3"/>
  <c r="AD272" i="3" l="1"/>
  <c r="AC273" i="3" s="1"/>
  <c r="P270" i="1"/>
  <c r="T272" i="3"/>
  <c r="H220" i="3"/>
  <c r="AA220" i="3" s="1"/>
  <c r="Z221" i="3" s="1"/>
  <c r="U272" i="3" l="1"/>
  <c r="W272" i="3" s="1"/>
  <c r="Q270" i="1"/>
  <c r="P273" i="3"/>
  <c r="R218" i="1"/>
  <c r="I220" i="3"/>
  <c r="Q273" i="3" l="1"/>
  <c r="AB273" i="3"/>
  <c r="K220" i="3"/>
  <c r="S218" i="1"/>
  <c r="R273" i="3" l="1"/>
  <c r="L220" i="3"/>
  <c r="O220" i="3" s="1"/>
  <c r="X220" i="3" s="1"/>
  <c r="M220" i="3"/>
  <c r="V220" i="3" s="1"/>
  <c r="S273" i="3" l="1"/>
  <c r="T271" i="1"/>
  <c r="N220" i="3"/>
  <c r="E221" i="3" s="1"/>
  <c r="D221" i="3"/>
  <c r="P271" i="1" l="1"/>
  <c r="AD273" i="3"/>
  <c r="AC274" i="3" s="1"/>
  <c r="T273" i="3"/>
  <c r="Q271" i="1" s="1"/>
  <c r="U273" i="3"/>
  <c r="Y221" i="3"/>
  <c r="F221" i="3"/>
  <c r="W273" i="3" l="1"/>
  <c r="P274" i="3"/>
  <c r="G221" i="3"/>
  <c r="Q274" i="3" l="1"/>
  <c r="AB274" i="3"/>
  <c r="H221" i="3"/>
  <c r="U219" i="1"/>
  <c r="R274" i="3" l="1"/>
  <c r="AA221" i="3"/>
  <c r="Z222" i="3" s="1"/>
  <c r="I221" i="3"/>
  <c r="R219" i="1"/>
  <c r="S219" i="1" l="1"/>
  <c r="K221" i="3"/>
  <c r="S274" i="3"/>
  <c r="T272" i="1"/>
  <c r="L221" i="3" l="1"/>
  <c r="O221" i="3" s="1"/>
  <c r="X221" i="3" s="1"/>
  <c r="M221" i="3"/>
  <c r="AD274" i="3"/>
  <c r="AC275" i="3" s="1"/>
  <c r="P272" i="1"/>
  <c r="T274" i="3"/>
  <c r="M24" i="1"/>
  <c r="V221" i="3" l="1"/>
  <c r="N221" i="3"/>
  <c r="E222" i="3" s="1"/>
  <c r="D222" i="3"/>
  <c r="U274" i="3"/>
  <c r="Q272" i="1"/>
  <c r="F222" i="3" l="1"/>
  <c r="Y222" i="3"/>
  <c r="G222" i="3" s="1"/>
  <c r="P275" i="3"/>
  <c r="W274" i="3"/>
  <c r="U220" i="1" l="1"/>
  <c r="H222" i="3"/>
  <c r="AB275" i="3"/>
  <c r="Q275" i="3"/>
  <c r="R275" i="3" l="1"/>
  <c r="R220" i="1"/>
  <c r="I222" i="3"/>
  <c r="AA222" i="3"/>
  <c r="Z223" i="3" s="1"/>
  <c r="S220" i="1" l="1"/>
  <c r="K222" i="3"/>
  <c r="S275" i="3"/>
  <c r="AD275" i="3" s="1"/>
  <c r="AC276" i="3" s="1"/>
  <c r="T273" i="1"/>
  <c r="P273" i="1"/>
  <c r="T275" i="3"/>
  <c r="L222" i="3" l="1"/>
  <c r="O222" i="3" s="1"/>
  <c r="X222" i="3" s="1"/>
  <c r="M222" i="3"/>
  <c r="U275" i="3"/>
  <c r="Q273" i="1"/>
  <c r="P276" i="3"/>
  <c r="W275" i="3"/>
  <c r="N222" i="3" l="1"/>
  <c r="E223" i="3" s="1"/>
  <c r="V222" i="3"/>
  <c r="D223" i="3"/>
  <c r="Q276" i="3"/>
  <c r="AB276" i="3"/>
  <c r="Y223" i="3"/>
  <c r="F223" i="3"/>
  <c r="R276" i="3" l="1"/>
  <c r="G223" i="3"/>
  <c r="T274" i="1" l="1"/>
  <c r="S276" i="3"/>
  <c r="U221" i="1"/>
  <c r="H223" i="3"/>
  <c r="AD276" i="3" l="1"/>
  <c r="AC277" i="3" s="1"/>
  <c r="P274" i="1"/>
  <c r="T276" i="3"/>
  <c r="R221" i="1"/>
  <c r="AA223" i="3"/>
  <c r="Z224" i="3" s="1"/>
  <c r="I223" i="3"/>
  <c r="S221" i="1"/>
  <c r="K223" i="3"/>
  <c r="U276" i="3" l="1"/>
  <c r="Q274" i="1"/>
  <c r="L223" i="3"/>
  <c r="O223" i="3" s="1"/>
  <c r="X223" i="3" s="1"/>
  <c r="M223" i="3"/>
  <c r="V223" i="3" s="1"/>
  <c r="W276" i="3" l="1"/>
  <c r="P277" i="3"/>
  <c r="N223" i="3"/>
  <c r="E224" i="3" s="1"/>
  <c r="D224" i="3"/>
  <c r="AB277" i="3" l="1"/>
  <c r="Q277" i="3"/>
  <c r="F224" i="3"/>
  <c r="Y224" i="3"/>
  <c r="R277" i="3" l="1"/>
  <c r="S277" i="3"/>
  <c r="G224" i="3"/>
  <c r="T277" i="3" l="1"/>
  <c r="T275" i="1"/>
  <c r="AD277" i="3"/>
  <c r="AC278" i="3" s="1"/>
  <c r="P275" i="1"/>
  <c r="U222" i="1"/>
  <c r="H224" i="3"/>
  <c r="U277" i="3" l="1"/>
  <c r="Q275" i="1"/>
  <c r="R222" i="1"/>
  <c r="I224" i="3"/>
  <c r="AA224" i="3"/>
  <c r="Z225" i="3" s="1"/>
  <c r="S222" i="1"/>
  <c r="K224" i="3"/>
  <c r="W277" i="3" l="1"/>
  <c r="P278" i="3"/>
  <c r="L224" i="3"/>
  <c r="O224" i="3" s="1"/>
  <c r="X224" i="3" s="1"/>
  <c r="M224" i="3"/>
  <c r="Q278" i="3" l="1"/>
  <c r="AB278" i="3"/>
  <c r="D225" i="3"/>
  <c r="V224" i="3"/>
  <c r="N224" i="3"/>
  <c r="E225" i="3" s="1"/>
  <c r="S278" i="3" l="1"/>
  <c r="AD278" i="3" s="1"/>
  <c r="AC279" i="3" s="1"/>
  <c r="R278" i="3"/>
  <c r="T276" i="1" s="1"/>
  <c r="F225" i="3"/>
  <c r="Y225" i="3"/>
  <c r="G225" i="3" s="1"/>
  <c r="P276" i="1" l="1"/>
  <c r="T278" i="3"/>
  <c r="H225" i="3"/>
  <c r="R223" i="1" s="1"/>
  <c r="U223" i="1"/>
  <c r="U278" i="3" l="1"/>
  <c r="Q276" i="1"/>
  <c r="I225" i="3"/>
  <c r="AA225" i="3"/>
  <c r="Z226" i="3" s="1"/>
  <c r="P279" i="3" l="1"/>
  <c r="W278" i="3"/>
  <c r="K225" i="3"/>
  <c r="S223" i="1"/>
  <c r="Q279" i="3" l="1"/>
  <c r="AB279" i="3"/>
  <c r="R279" i="3" s="1"/>
  <c r="M225" i="3"/>
  <c r="L225" i="3"/>
  <c r="O225" i="3" s="1"/>
  <c r="X225" i="3" s="1"/>
  <c r="T279" i="3" l="1"/>
  <c r="T277" i="1"/>
  <c r="S279" i="3"/>
  <c r="V225" i="3"/>
  <c r="D226" i="3"/>
  <c r="N225" i="3"/>
  <c r="E226" i="3" s="1"/>
  <c r="U279" i="3" l="1"/>
  <c r="Q277" i="1"/>
  <c r="AD279" i="3"/>
  <c r="AC280" i="3" s="1"/>
  <c r="P277" i="1"/>
  <c r="F226" i="3"/>
  <c r="G226" i="3" s="1"/>
  <c r="Y226" i="3"/>
  <c r="H226" i="3" l="1"/>
  <c r="P280" i="3"/>
  <c r="W279" i="3"/>
  <c r="U224" i="1"/>
  <c r="I226" i="3"/>
  <c r="S224" i="1"/>
  <c r="K226" i="3"/>
  <c r="R224" i="1" l="1"/>
  <c r="AA226" i="3"/>
  <c r="Z227" i="3" s="1"/>
  <c r="Q280" i="3"/>
  <c r="R280" i="3" s="1"/>
  <c r="AB280" i="3"/>
  <c r="L226" i="3"/>
  <c r="O226" i="3" s="1"/>
  <c r="X226" i="3" s="1"/>
  <c r="M226" i="3"/>
  <c r="T280" i="3" l="1"/>
  <c r="T278" i="1"/>
  <c r="AD280" i="3"/>
  <c r="AC281" i="3" s="1"/>
  <c r="S280" i="3"/>
  <c r="P278" i="1" s="1"/>
  <c r="D227" i="3"/>
  <c r="N226" i="3"/>
  <c r="E227" i="3" s="1"/>
  <c r="V226" i="3"/>
  <c r="U280" i="3" l="1"/>
  <c r="Q278" i="1"/>
  <c r="F227" i="3"/>
  <c r="Y227" i="3"/>
  <c r="P281" i="3" l="1"/>
  <c r="W280" i="3"/>
  <c r="G227" i="3"/>
  <c r="AB281" i="3" l="1"/>
  <c r="Q281" i="3"/>
  <c r="H227" i="3"/>
  <c r="AA227" i="3" s="1"/>
  <c r="Z228" i="3" s="1"/>
  <c r="U225" i="1"/>
  <c r="R281" i="3" l="1"/>
  <c r="I227" i="3"/>
  <c r="K227" i="3" s="1"/>
  <c r="R225" i="1"/>
  <c r="S225" i="1"/>
  <c r="T279" i="1" l="1"/>
  <c r="S281" i="3"/>
  <c r="M227" i="3"/>
  <c r="L227" i="3"/>
  <c r="O227" i="3" s="1"/>
  <c r="X227" i="3" s="1"/>
  <c r="T281" i="3" l="1"/>
  <c r="P279" i="1"/>
  <c r="AD281" i="3"/>
  <c r="AC282" i="3" s="1"/>
  <c r="V227" i="3"/>
  <c r="N227" i="3"/>
  <c r="E228" i="3" s="1"/>
  <c r="D228" i="3"/>
  <c r="Y228" i="3"/>
  <c r="F228" i="3"/>
  <c r="G228" i="3" s="1"/>
  <c r="W281" i="3" l="1"/>
  <c r="U281" i="3"/>
  <c r="Q279" i="1"/>
  <c r="H228" i="3"/>
  <c r="U226" i="1"/>
  <c r="L29" i="1" l="1"/>
  <c r="P282" i="3"/>
  <c r="I228" i="3"/>
  <c r="AA228" i="3"/>
  <c r="Z229" i="3" s="1"/>
  <c r="R226" i="1"/>
  <c r="Q282" i="3" l="1"/>
  <c r="R282" i="3" s="1"/>
  <c r="AB282" i="3"/>
  <c r="S226" i="1"/>
  <c r="K228" i="3"/>
  <c r="T280" i="1" l="1"/>
  <c r="S282" i="3"/>
  <c r="L228" i="3"/>
  <c r="O228" i="3" s="1"/>
  <c r="X228" i="3" s="1"/>
  <c r="M228" i="3"/>
  <c r="P280" i="1" l="1"/>
  <c r="AD282" i="3"/>
  <c r="AC283" i="3" s="1"/>
  <c r="T282" i="3"/>
  <c r="V228" i="3"/>
  <c r="D229" i="3"/>
  <c r="N228" i="3"/>
  <c r="E229" i="3" s="1"/>
  <c r="Q280" i="1" l="1"/>
  <c r="U282" i="3"/>
  <c r="P283" i="3" s="1"/>
  <c r="W282" i="3"/>
  <c r="Y229" i="3"/>
  <c r="F229" i="3"/>
  <c r="G229" i="3" s="1"/>
  <c r="U227" i="1" s="1"/>
  <c r="Q283" i="3" l="1"/>
  <c r="R283" i="3" s="1"/>
  <c r="AB283" i="3"/>
  <c r="H229" i="3"/>
  <c r="T281" i="1" l="1"/>
  <c r="S283" i="3"/>
  <c r="R227" i="1"/>
  <c r="AA229" i="3"/>
  <c r="Z230" i="3" s="1"/>
  <c r="I229" i="3"/>
  <c r="P281" i="1" l="1"/>
  <c r="T283" i="3"/>
  <c r="AD283" i="3"/>
  <c r="AC284" i="3" s="1"/>
  <c r="K229" i="3"/>
  <c r="M229" i="3" s="1"/>
  <c r="S227" i="1"/>
  <c r="Q281" i="1" l="1"/>
  <c r="U283" i="3"/>
  <c r="N229" i="3"/>
  <c r="E230" i="3" s="1"/>
  <c r="D230" i="3"/>
  <c r="V229" i="3"/>
  <c r="L229" i="3"/>
  <c r="O229" i="3" s="1"/>
  <c r="X229" i="3" s="1"/>
  <c r="P284" i="3" l="1"/>
  <c r="W283" i="3"/>
  <c r="F230" i="3"/>
  <c r="Y230" i="3"/>
  <c r="Q284" i="3" l="1"/>
  <c r="AB284" i="3"/>
  <c r="G230" i="3"/>
  <c r="R284" i="3" l="1"/>
  <c r="U228" i="1"/>
  <c r="H230" i="3"/>
  <c r="T282" i="1" l="1"/>
  <c r="S284" i="3"/>
  <c r="T284" i="3" s="1"/>
  <c r="I230" i="3"/>
  <c r="AA230" i="3"/>
  <c r="Z231" i="3" s="1"/>
  <c r="R228" i="1"/>
  <c r="U284" i="3" l="1"/>
  <c r="P285" i="3" s="1"/>
  <c r="W284" i="3"/>
  <c r="Q282" i="1"/>
  <c r="AD284" i="3"/>
  <c r="AC285" i="3" s="1"/>
  <c r="P282" i="1"/>
  <c r="K230" i="3"/>
  <c r="M230" i="3" s="1"/>
  <c r="S228" i="1"/>
  <c r="AB285" i="3" l="1"/>
  <c r="Q285" i="3"/>
  <c r="R285" i="3" s="1"/>
  <c r="D231" i="3"/>
  <c r="N230" i="3"/>
  <c r="E231" i="3" s="1"/>
  <c r="V230" i="3"/>
  <c r="L230" i="3"/>
  <c r="O230" i="3" s="1"/>
  <c r="X230" i="3" s="1"/>
  <c r="S285" i="3" l="1"/>
  <c r="T283" i="1"/>
  <c r="Y231" i="3"/>
  <c r="F231" i="3"/>
  <c r="G231" i="3" l="1"/>
  <c r="U229" i="1" s="1"/>
  <c r="P283" i="1"/>
  <c r="AD285" i="3"/>
  <c r="AC286" i="3" s="1"/>
  <c r="T285" i="3"/>
  <c r="H231" i="3"/>
  <c r="I231" i="3" s="1"/>
  <c r="Q283" i="1" l="1"/>
  <c r="U285" i="3"/>
  <c r="S229" i="1"/>
  <c r="K231" i="3"/>
  <c r="AA231" i="3"/>
  <c r="Z232" i="3" s="1"/>
  <c r="R229" i="1"/>
  <c r="P286" i="3" l="1"/>
  <c r="W285" i="3"/>
  <c r="M231" i="3"/>
  <c r="L231" i="3"/>
  <c r="O231" i="3" s="1"/>
  <c r="X231" i="3" s="1"/>
  <c r="AB286" i="3" l="1"/>
  <c r="Q286" i="3"/>
  <c r="R286" i="3" s="1"/>
  <c r="V231" i="3"/>
  <c r="D232" i="3"/>
  <c r="N231" i="3"/>
  <c r="E232" i="3" s="1"/>
  <c r="T284" i="1" l="1"/>
  <c r="S286" i="3"/>
  <c r="T286" i="3" s="1"/>
  <c r="F232" i="3"/>
  <c r="G232" i="3" s="1"/>
  <c r="Y232" i="3"/>
  <c r="U286" i="3" l="1"/>
  <c r="Q284" i="1"/>
  <c r="AD286" i="3"/>
  <c r="AC287" i="3" s="1"/>
  <c r="P284" i="1"/>
  <c r="H232" i="3"/>
  <c r="I232" i="3" s="1"/>
  <c r="U230" i="1"/>
  <c r="P287" i="3" l="1"/>
  <c r="W286" i="3"/>
  <c r="AA232" i="3"/>
  <c r="Z233" i="3" s="1"/>
  <c r="R230" i="1"/>
  <c r="S230" i="1"/>
  <c r="K232" i="3"/>
  <c r="Q287" i="3" l="1"/>
  <c r="R287" i="3" s="1"/>
  <c r="T285" i="1" s="1"/>
  <c r="AB287" i="3"/>
  <c r="L232" i="3"/>
  <c r="O232" i="3" s="1"/>
  <c r="X232" i="3" s="1"/>
  <c r="M232" i="3"/>
  <c r="N232" i="3"/>
  <c r="E233" i="3" s="1"/>
  <c r="AD287" i="3" l="1"/>
  <c r="AC288" i="3" s="1"/>
  <c r="S287" i="3"/>
  <c r="V232" i="3"/>
  <c r="D233" i="3"/>
  <c r="P285" i="1" l="1"/>
  <c r="T287" i="3"/>
  <c r="Y233" i="3"/>
  <c r="F233" i="3"/>
  <c r="G233" i="3" s="1"/>
  <c r="U287" i="3" l="1"/>
  <c r="Q285" i="1"/>
  <c r="U231" i="1"/>
  <c r="H233" i="3"/>
  <c r="P288" i="3" l="1"/>
  <c r="W287" i="3"/>
  <c r="AA233" i="3"/>
  <c r="Z234" i="3" s="1"/>
  <c r="I233" i="3"/>
  <c r="R231" i="1"/>
  <c r="Q288" i="3" l="1"/>
  <c r="R288" i="3" s="1"/>
  <c r="AB288" i="3"/>
  <c r="S231" i="1"/>
  <c r="K233" i="3"/>
  <c r="T286" i="1" l="1"/>
  <c r="S288" i="3"/>
  <c r="M233" i="3"/>
  <c r="L233" i="3"/>
  <c r="O233" i="3" s="1"/>
  <c r="X233" i="3" s="1"/>
  <c r="P286" i="1" l="1"/>
  <c r="T288" i="3"/>
  <c r="AD288" i="3"/>
  <c r="AC289" i="3" s="1"/>
  <c r="V233" i="3"/>
  <c r="N233" i="3"/>
  <c r="E234" i="3" s="1"/>
  <c r="D234" i="3"/>
  <c r="F234" i="3" s="1"/>
  <c r="M25" i="1"/>
  <c r="Y234" i="3"/>
  <c r="Q286" i="1" l="1"/>
  <c r="U288" i="3"/>
  <c r="P289" i="3" s="1"/>
  <c r="W288" i="3"/>
  <c r="G234" i="3"/>
  <c r="H234" i="3" s="1"/>
  <c r="Q289" i="3" l="1"/>
  <c r="AB289" i="3"/>
  <c r="R289" i="3"/>
  <c r="T287" i="1" s="1"/>
  <c r="I234" i="3"/>
  <c r="U232" i="1"/>
  <c r="AA234" i="3"/>
  <c r="Z235" i="3" s="1"/>
  <c r="R232" i="1"/>
  <c r="S289" i="3" l="1"/>
  <c r="AD289" i="3" s="1"/>
  <c r="AC290" i="3" s="1"/>
  <c r="K234" i="3"/>
  <c r="S232" i="1"/>
  <c r="P287" i="1" l="1"/>
  <c r="T289" i="3"/>
  <c r="M234" i="3"/>
  <c r="L234" i="3"/>
  <c r="O234" i="3" s="1"/>
  <c r="X234" i="3" s="1"/>
  <c r="U289" i="3" l="1"/>
  <c r="P290" i="3" s="1"/>
  <c r="W289" i="3"/>
  <c r="Q287" i="1"/>
  <c r="V234" i="3"/>
  <c r="N234" i="3"/>
  <c r="E235" i="3" s="1"/>
  <c r="D235" i="3"/>
  <c r="Q290" i="3" l="1"/>
  <c r="AB290" i="3"/>
  <c r="Y235" i="3"/>
  <c r="F235" i="3"/>
  <c r="R290" i="3" l="1"/>
  <c r="S290" i="3" s="1"/>
  <c r="G235" i="3"/>
  <c r="H235" i="3" s="1"/>
  <c r="T288" i="1" l="1"/>
  <c r="T290" i="3"/>
  <c r="AD290" i="3"/>
  <c r="AC291" i="3" s="1"/>
  <c r="P288" i="1"/>
  <c r="I235" i="3"/>
  <c r="U233" i="1"/>
  <c r="AA235" i="3"/>
  <c r="Z236" i="3" s="1"/>
  <c r="R233" i="1"/>
  <c r="Q288" i="1" l="1"/>
  <c r="U290" i="3"/>
  <c r="K235" i="3"/>
  <c r="S233" i="1"/>
  <c r="P291" i="3" l="1"/>
  <c r="W290" i="3"/>
  <c r="L235" i="3"/>
  <c r="O235" i="3" s="1"/>
  <c r="X235" i="3" s="1"/>
  <c r="M235" i="3"/>
  <c r="V235" i="3" s="1"/>
  <c r="AB291" i="3" l="1"/>
  <c r="Q291" i="3"/>
  <c r="R291" i="3" s="1"/>
  <c r="D236" i="3"/>
  <c r="N235" i="3"/>
  <c r="E236" i="3" s="1"/>
  <c r="T289" i="1" l="1"/>
  <c r="S291" i="3"/>
  <c r="T291" i="3" s="1"/>
  <c r="F236" i="3"/>
  <c r="Y236" i="3"/>
  <c r="U291" i="3" l="1"/>
  <c r="P292" i="3" s="1"/>
  <c r="W291" i="3"/>
  <c r="Q289" i="1"/>
  <c r="AD291" i="3"/>
  <c r="AC292" i="3" s="1"/>
  <c r="P289" i="1"/>
  <c r="G236" i="3"/>
  <c r="H236" i="3" s="1"/>
  <c r="Q292" i="3" l="1"/>
  <c r="R292" i="3" s="1"/>
  <c r="T290" i="1" s="1"/>
  <c r="AB292" i="3"/>
  <c r="U234" i="1"/>
  <c r="I236" i="3"/>
  <c r="AA236" i="3"/>
  <c r="Z237" i="3" s="1"/>
  <c r="R234" i="1"/>
  <c r="S292" i="3" l="1"/>
  <c r="AD292" i="3" s="1"/>
  <c r="AC293" i="3" s="1"/>
  <c r="K236" i="3"/>
  <c r="S234" i="1"/>
  <c r="P290" i="1" l="1"/>
  <c r="T292" i="3"/>
  <c r="M236" i="3"/>
  <c r="L236" i="3"/>
  <c r="O236" i="3" s="1"/>
  <c r="X236" i="3" s="1"/>
  <c r="U292" i="3" l="1"/>
  <c r="Q290" i="1"/>
  <c r="V236" i="3"/>
  <c r="N236" i="3"/>
  <c r="E237" i="3" s="1"/>
  <c r="D237" i="3"/>
  <c r="P293" i="3" l="1"/>
  <c r="W292" i="3"/>
  <c r="F237" i="3"/>
  <c r="G237" i="3" s="1"/>
  <c r="Y237" i="3"/>
  <c r="AB293" i="3" l="1"/>
  <c r="Q293" i="3"/>
  <c r="R293" i="3" s="1"/>
  <c r="T291" i="1" s="1"/>
  <c r="U235" i="1"/>
  <c r="H237" i="3"/>
  <c r="S293" i="3" l="1"/>
  <c r="AD293" i="3" s="1"/>
  <c r="AC294" i="3" s="1"/>
  <c r="R235" i="1"/>
  <c r="AA237" i="3"/>
  <c r="Z238" i="3" s="1"/>
  <c r="I237" i="3"/>
  <c r="P291" i="1" l="1"/>
  <c r="T293" i="3"/>
  <c r="S235" i="1"/>
  <c r="K237" i="3"/>
  <c r="U293" i="3" l="1"/>
  <c r="W293" i="3" s="1"/>
  <c r="Q291" i="1"/>
  <c r="L237" i="3"/>
  <c r="O237" i="3" s="1"/>
  <c r="X237" i="3" s="1"/>
  <c r="M237" i="3"/>
  <c r="V237" i="3" s="1"/>
  <c r="L30" i="1" l="1"/>
  <c r="P294" i="3"/>
  <c r="N237" i="3"/>
  <c r="E238" i="3" s="1"/>
  <c r="D238" i="3"/>
  <c r="Q294" i="3" l="1"/>
  <c r="R294" i="3" s="1"/>
  <c r="AB294" i="3"/>
  <c r="F238" i="3"/>
  <c r="Y238" i="3"/>
  <c r="T292" i="1" l="1"/>
  <c r="S294" i="3"/>
  <c r="G238" i="3"/>
  <c r="P292" i="1" l="1"/>
  <c r="AD294" i="3"/>
  <c r="AC295" i="3" s="1"/>
  <c r="T294" i="3"/>
  <c r="U236" i="1"/>
  <c r="H238" i="3"/>
  <c r="Q292" i="1" l="1"/>
  <c r="U294" i="3"/>
  <c r="AA238" i="3"/>
  <c r="Z239" i="3" s="1"/>
  <c r="R236" i="1"/>
  <c r="I238" i="3"/>
  <c r="P295" i="3" l="1"/>
  <c r="W294" i="3"/>
  <c r="S236" i="1"/>
  <c r="K238" i="3"/>
  <c r="AB295" i="3" l="1"/>
  <c r="Q295" i="3"/>
  <c r="R295" i="3" s="1"/>
  <c r="L238" i="3"/>
  <c r="O238" i="3" s="1"/>
  <c r="X238" i="3" s="1"/>
  <c r="M238" i="3"/>
  <c r="V238" i="3" s="1"/>
  <c r="T293" i="1" l="1"/>
  <c r="S295" i="3"/>
  <c r="T295" i="3" s="1"/>
  <c r="N238" i="3"/>
  <c r="E239" i="3" s="1"/>
  <c r="D239" i="3"/>
  <c r="U295" i="3" l="1"/>
  <c r="Q293" i="1"/>
  <c r="AD295" i="3"/>
  <c r="AC296" i="3" s="1"/>
  <c r="P293" i="1"/>
  <c r="Y239" i="3"/>
  <c r="F239" i="3"/>
  <c r="G239" i="3" s="1"/>
  <c r="U237" i="1" s="1"/>
  <c r="P296" i="3" l="1"/>
  <c r="W295" i="3"/>
  <c r="H239" i="3"/>
  <c r="AA239" i="3" s="1"/>
  <c r="Z240" i="3" s="1"/>
  <c r="AB296" i="3" l="1"/>
  <c r="Q296" i="3"/>
  <c r="R296" i="3" s="1"/>
  <c r="R237" i="1"/>
  <c r="I239" i="3"/>
  <c r="S296" i="3" l="1"/>
  <c r="T294" i="1"/>
  <c r="K239" i="3"/>
  <c r="S237" i="1"/>
  <c r="P294" i="1" l="1"/>
  <c r="AD296" i="3"/>
  <c r="AC297" i="3" s="1"/>
  <c r="T296" i="3"/>
  <c r="L239" i="3"/>
  <c r="O239" i="3" s="1"/>
  <c r="X239" i="3" s="1"/>
  <c r="M239" i="3"/>
  <c r="V239" i="3" s="1"/>
  <c r="Q294" i="1" l="1"/>
  <c r="U296" i="3"/>
  <c r="D240" i="3"/>
  <c r="N239" i="3"/>
  <c r="E240" i="3" s="1"/>
  <c r="P297" i="3" l="1"/>
  <c r="W296" i="3"/>
  <c r="F240" i="3"/>
  <c r="Y240" i="3"/>
  <c r="Q297" i="3" l="1"/>
  <c r="AB297" i="3"/>
  <c r="G240" i="3"/>
  <c r="R297" i="3" l="1"/>
  <c r="S297" i="3" s="1"/>
  <c r="U238" i="1"/>
  <c r="H240" i="3"/>
  <c r="T297" i="3" l="1"/>
  <c r="T295" i="1"/>
  <c r="AD297" i="3"/>
  <c r="AC298" i="3" s="1"/>
  <c r="P295" i="1"/>
  <c r="I240" i="3"/>
  <c r="AA240" i="3"/>
  <c r="Z241" i="3" s="1"/>
  <c r="R238" i="1"/>
  <c r="U297" i="3" l="1"/>
  <c r="Q295" i="1"/>
  <c r="K240" i="3"/>
  <c r="S238" i="1"/>
  <c r="P298" i="3" l="1"/>
  <c r="W297" i="3"/>
  <c r="L240" i="3"/>
  <c r="O240" i="3" s="1"/>
  <c r="X240" i="3" s="1"/>
  <c r="M240" i="3"/>
  <c r="AB298" i="3" l="1"/>
  <c r="Q298" i="3"/>
  <c r="R298" i="3" s="1"/>
  <c r="V240" i="3"/>
  <c r="N240" i="3"/>
  <c r="E241" i="3" s="1"/>
  <c r="D241" i="3"/>
  <c r="F241" i="3" s="1"/>
  <c r="Y241" i="3"/>
  <c r="S298" i="3" l="1"/>
  <c r="T296" i="1"/>
  <c r="G241" i="3"/>
  <c r="P296" i="1" l="1"/>
  <c r="AD298" i="3"/>
  <c r="AC299" i="3" s="1"/>
  <c r="T298" i="3"/>
  <c r="U239" i="1"/>
  <c r="H241" i="3"/>
  <c r="Q296" i="1" l="1"/>
  <c r="U298" i="3"/>
  <c r="I241" i="3"/>
  <c r="R239" i="1"/>
  <c r="AA241" i="3"/>
  <c r="Z242" i="3" s="1"/>
  <c r="P299" i="3" l="1"/>
  <c r="W298" i="3"/>
  <c r="S239" i="1"/>
  <c r="K241" i="3"/>
  <c r="Q299" i="3" l="1"/>
  <c r="AB299" i="3"/>
  <c r="R299" i="3" s="1"/>
  <c r="L241" i="3"/>
  <c r="O241" i="3" s="1"/>
  <c r="X241" i="3" s="1"/>
  <c r="M241" i="3"/>
  <c r="T297" i="1" l="1"/>
  <c r="S299" i="3"/>
  <c r="T299" i="3" s="1"/>
  <c r="V241" i="3"/>
  <c r="D242" i="3"/>
  <c r="N241" i="3"/>
  <c r="E242" i="3" s="1"/>
  <c r="U299" i="3" l="1"/>
  <c r="Q297" i="1"/>
  <c r="AD299" i="3"/>
  <c r="AC300" i="3" s="1"/>
  <c r="P297" i="1"/>
  <c r="F242" i="3"/>
  <c r="Y242" i="3"/>
  <c r="P300" i="3" l="1"/>
  <c r="W299" i="3"/>
  <c r="G242" i="3"/>
  <c r="AB300" i="3" l="1"/>
  <c r="Q300" i="3"/>
  <c r="R300" i="3" s="1"/>
  <c r="U240" i="1"/>
  <c r="H242" i="3"/>
  <c r="I242" i="3" s="1"/>
  <c r="K242" i="3" s="1"/>
  <c r="R240" i="1"/>
  <c r="AA242" i="3"/>
  <c r="Z243" i="3" s="1"/>
  <c r="S240" i="1"/>
  <c r="T298" i="1" l="1"/>
  <c r="AD300" i="3"/>
  <c r="AC301" i="3" s="1"/>
  <c r="S300" i="3"/>
  <c r="L242" i="3"/>
  <c r="O242" i="3" s="1"/>
  <c r="X242" i="3" s="1"/>
  <c r="M242" i="3"/>
  <c r="P298" i="1" l="1"/>
  <c r="T300" i="3"/>
  <c r="V242" i="3"/>
  <c r="N242" i="3"/>
  <c r="E243" i="3" s="1"/>
  <c r="D243" i="3"/>
  <c r="Q298" i="1" l="1"/>
  <c r="U300" i="3"/>
  <c r="F243" i="3"/>
  <c r="Y243" i="3"/>
  <c r="P301" i="3" l="1"/>
  <c r="W300" i="3"/>
  <c r="G243" i="3"/>
  <c r="AB301" i="3" l="1"/>
  <c r="R301" i="3" s="1"/>
  <c r="Q301" i="3"/>
  <c r="H243" i="3"/>
  <c r="U241" i="1"/>
  <c r="T301" i="3" l="1"/>
  <c r="T299" i="1"/>
  <c r="AD301" i="3"/>
  <c r="AC302" i="3" s="1"/>
  <c r="S301" i="3"/>
  <c r="P299" i="1" s="1"/>
  <c r="I243" i="3"/>
  <c r="R241" i="1"/>
  <c r="AA243" i="3"/>
  <c r="Z244" i="3" s="1"/>
  <c r="U301" i="3" l="1"/>
  <c r="Q299" i="1"/>
  <c r="S241" i="1"/>
  <c r="K243" i="3"/>
  <c r="P302" i="3" l="1"/>
  <c r="W301" i="3"/>
  <c r="M243" i="3"/>
  <c r="L243" i="3"/>
  <c r="O243" i="3" s="1"/>
  <c r="X243" i="3" s="1"/>
  <c r="AB302" i="3" l="1"/>
  <c r="Q302" i="3"/>
  <c r="R302" i="3" s="1"/>
  <c r="V243" i="3"/>
  <c r="N243" i="3"/>
  <c r="E244" i="3" s="1"/>
  <c r="D244" i="3"/>
  <c r="S302" i="3" l="1"/>
  <c r="T300" i="1"/>
  <c r="F244" i="3"/>
  <c r="Y244" i="3"/>
  <c r="P300" i="1" l="1"/>
  <c r="T302" i="3"/>
  <c r="AD302" i="3"/>
  <c r="AC303" i="3" s="1"/>
  <c r="G244" i="3"/>
  <c r="Q300" i="1" l="1"/>
  <c r="U302" i="3"/>
  <c r="P303" i="3" s="1"/>
  <c r="W302" i="3"/>
  <c r="H244" i="3"/>
  <c r="I244" i="3" s="1"/>
  <c r="U242" i="1"/>
  <c r="Q303" i="3" l="1"/>
  <c r="R303" i="3" s="1"/>
  <c r="T301" i="1" s="1"/>
  <c r="AB303" i="3"/>
  <c r="R242" i="1"/>
  <c r="AA244" i="3"/>
  <c r="Z245" i="3" s="1"/>
  <c r="K244" i="3"/>
  <c r="S242" i="1"/>
  <c r="AD303" i="3" l="1"/>
  <c r="AC304" i="3" s="1"/>
  <c r="S303" i="3"/>
  <c r="M244" i="3"/>
  <c r="L244" i="3"/>
  <c r="O244" i="3" s="1"/>
  <c r="X244" i="3" s="1"/>
  <c r="P301" i="1" l="1"/>
  <c r="T303" i="3"/>
  <c r="D245" i="3"/>
  <c r="N244" i="3"/>
  <c r="E245" i="3" s="1"/>
  <c r="V244" i="3"/>
  <c r="U303" i="3" l="1"/>
  <c r="P304" i="3" s="1"/>
  <c r="W303" i="3"/>
  <c r="Q301" i="1"/>
  <c r="Y245" i="3"/>
  <c r="F245" i="3"/>
  <c r="AB304" i="3" l="1"/>
  <c r="Q304" i="3"/>
  <c r="R304" i="3"/>
  <c r="G245" i="3"/>
  <c r="S304" i="3" l="1"/>
  <c r="T302" i="1"/>
  <c r="U243" i="1"/>
  <c r="I245" i="3"/>
  <c r="H245" i="3"/>
  <c r="P302" i="1" l="1"/>
  <c r="AD304" i="3"/>
  <c r="AC305" i="3" s="1"/>
  <c r="T304" i="3"/>
  <c r="K245" i="3"/>
  <c r="S243" i="1"/>
  <c r="R243" i="1"/>
  <c r="AA245" i="3"/>
  <c r="Z246" i="3" s="1"/>
  <c r="Q302" i="1" l="1"/>
  <c r="U304" i="3"/>
  <c r="L245" i="3"/>
  <c r="O245" i="3" s="1"/>
  <c r="X245" i="3" s="1"/>
  <c r="M245" i="3"/>
  <c r="V245" i="3" s="1"/>
  <c r="P305" i="3" l="1"/>
  <c r="W304" i="3"/>
  <c r="D246" i="3"/>
  <c r="M26" i="1"/>
  <c r="N245" i="3"/>
  <c r="E246" i="3" s="1"/>
  <c r="R305" i="3" l="1"/>
  <c r="Q305" i="3"/>
  <c r="AB305" i="3"/>
  <c r="Y246" i="3"/>
  <c r="F246" i="3"/>
  <c r="T305" i="3" l="1"/>
  <c r="T303" i="1"/>
  <c r="AD305" i="3"/>
  <c r="AC306" i="3" s="1"/>
  <c r="S305" i="3"/>
  <c r="P303" i="1" s="1"/>
  <c r="G246" i="3"/>
  <c r="H246" i="3"/>
  <c r="I246" i="3" s="1"/>
  <c r="U244" i="1"/>
  <c r="U305" i="3" l="1"/>
  <c r="Q303" i="1"/>
  <c r="R244" i="1"/>
  <c r="AA246" i="3"/>
  <c r="Z247" i="3" s="1"/>
  <c r="S244" i="1"/>
  <c r="K246" i="3"/>
  <c r="W305" i="3" l="1"/>
  <c r="L31" i="1"/>
  <c r="P306" i="3"/>
  <c r="L246" i="3"/>
  <c r="O246" i="3" s="1"/>
  <c r="X246" i="3" s="1"/>
  <c r="M246" i="3"/>
  <c r="V246" i="3"/>
  <c r="AB306" i="3" l="1"/>
  <c r="Q306" i="3"/>
  <c r="R306" i="3" s="1"/>
  <c r="T304" i="1" s="1"/>
  <c r="N246" i="3"/>
  <c r="E247" i="3" s="1"/>
  <c r="D247" i="3"/>
  <c r="S306" i="3" l="1"/>
  <c r="AD306" i="3" s="1"/>
  <c r="AC307" i="3" s="1"/>
  <c r="Y247" i="3"/>
  <c r="F247" i="3"/>
  <c r="G247" i="3" s="1"/>
  <c r="P304" i="1" l="1"/>
  <c r="T306" i="3"/>
  <c r="U245" i="1"/>
  <c r="H247" i="3"/>
  <c r="U306" i="3" l="1"/>
  <c r="Q304" i="1"/>
  <c r="I247" i="3"/>
  <c r="R245" i="1"/>
  <c r="AA247" i="3"/>
  <c r="Z248" i="3" s="1"/>
  <c r="S245" i="1" l="1"/>
  <c r="K247" i="3"/>
  <c r="P307" i="3"/>
  <c r="W306" i="3"/>
  <c r="L247" i="3" l="1"/>
  <c r="O247" i="3" s="1"/>
  <c r="X247" i="3" s="1"/>
  <c r="M247" i="3"/>
  <c r="Q307" i="3"/>
  <c r="R307" i="3" s="1"/>
  <c r="AB307" i="3"/>
  <c r="V247" i="3" l="1"/>
  <c r="N247" i="3"/>
  <c r="E248" i="3" s="1"/>
  <c r="D248" i="3"/>
  <c r="T305" i="1"/>
  <c r="S307" i="3"/>
  <c r="Y248" i="3" l="1"/>
  <c r="F248" i="3"/>
  <c r="P305" i="1"/>
  <c r="T307" i="3"/>
  <c r="AD307" i="3"/>
  <c r="AC308" i="3" s="1"/>
  <c r="Q305" i="1" l="1"/>
  <c r="U307" i="3"/>
  <c r="P308" i="3" s="1"/>
  <c r="W307" i="3"/>
  <c r="G248" i="3"/>
  <c r="Q308" i="3" l="1"/>
  <c r="R308" i="3" s="1"/>
  <c r="AB308" i="3"/>
  <c r="U246" i="1"/>
  <c r="H248" i="3"/>
  <c r="T308" i="3" l="1"/>
  <c r="T306" i="1"/>
  <c r="AD308" i="3"/>
  <c r="AC309" i="3" s="1"/>
  <c r="S308" i="3"/>
  <c r="P306" i="1" s="1"/>
  <c r="I248" i="3"/>
  <c r="R246" i="1"/>
  <c r="AA248" i="3"/>
  <c r="Z249" i="3" s="1"/>
  <c r="U308" i="3" l="1"/>
  <c r="Q306" i="1"/>
  <c r="S246" i="1"/>
  <c r="K248" i="3"/>
  <c r="V248" i="3" l="1"/>
  <c r="L248" i="3"/>
  <c r="O248" i="3" s="1"/>
  <c r="X248" i="3" s="1"/>
  <c r="M248" i="3"/>
  <c r="P309" i="3"/>
  <c r="W308" i="3"/>
  <c r="N248" i="3" l="1"/>
  <c r="E249" i="3" s="1"/>
  <c r="D249" i="3"/>
  <c r="Q309" i="3"/>
  <c r="AB309" i="3"/>
  <c r="R309" i="3" s="1"/>
  <c r="F249" i="3" l="1"/>
  <c r="G249" i="3" s="1"/>
  <c r="Y249" i="3"/>
  <c r="T307" i="1"/>
  <c r="S309" i="3"/>
  <c r="H249" i="3" l="1"/>
  <c r="I249" i="3"/>
  <c r="U247" i="1"/>
  <c r="P307" i="1"/>
  <c r="T309" i="3"/>
  <c r="AD309" i="3"/>
  <c r="AC310" i="3" s="1"/>
  <c r="S247" i="1"/>
  <c r="K249" i="3"/>
  <c r="L249" i="3"/>
  <c r="O249" i="3" s="1"/>
  <c r="X249" i="3" s="1"/>
  <c r="M249" i="3"/>
  <c r="AA249" i="3" l="1"/>
  <c r="R247" i="1"/>
  <c r="Q307" i="1"/>
  <c r="W309" i="3"/>
  <c r="U309" i="3"/>
  <c r="P310" i="3" s="1"/>
  <c r="V249" i="3"/>
  <c r="D250" i="3"/>
  <c r="AB310" i="3" l="1"/>
  <c r="Q310" i="3"/>
  <c r="R310" i="3"/>
  <c r="T308" i="1" s="1"/>
  <c r="Z250" i="3"/>
  <c r="N249" i="3"/>
  <c r="E250" i="3" s="1"/>
  <c r="Y250" i="3"/>
  <c r="F250" i="3"/>
  <c r="G250" i="3" s="1"/>
  <c r="S310" i="3" l="1"/>
  <c r="AD310" i="3" s="1"/>
  <c r="AC311" i="3" s="1"/>
  <c r="U248" i="1"/>
  <c r="H250" i="3"/>
  <c r="I250" i="3" s="1"/>
  <c r="P308" i="1" l="1"/>
  <c r="T310" i="3"/>
  <c r="K250" i="3"/>
  <c r="M250" i="3" s="1"/>
  <c r="S248" i="1"/>
  <c r="AA250" i="3"/>
  <c r="Z251" i="3" s="1"/>
  <c r="R248" i="1"/>
  <c r="U310" i="3" l="1"/>
  <c r="Q308" i="1"/>
  <c r="N250" i="3"/>
  <c r="E251" i="3" s="1"/>
  <c r="D251" i="3"/>
  <c r="V250" i="3"/>
  <c r="L250" i="3"/>
  <c r="O250" i="3" s="1"/>
  <c r="X250" i="3" s="1"/>
  <c r="P311" i="3" l="1"/>
  <c r="W310" i="3"/>
  <c r="F251" i="3"/>
  <c r="Y251" i="3"/>
  <c r="Q311" i="3" l="1"/>
  <c r="R311" i="3" s="1"/>
  <c r="AB311" i="3"/>
  <c r="G251" i="3"/>
  <c r="T309" i="1" l="1"/>
  <c r="S311" i="3"/>
  <c r="T311" i="3" s="1"/>
  <c r="H251" i="3"/>
  <c r="U249" i="1"/>
  <c r="U311" i="3" l="1"/>
  <c r="Q309" i="1"/>
  <c r="AD311" i="3"/>
  <c r="AC312" i="3" s="1"/>
  <c r="P309" i="1"/>
  <c r="R249" i="1"/>
  <c r="AA251" i="3"/>
  <c r="Z252" i="3" s="1"/>
  <c r="I251" i="3"/>
  <c r="P312" i="3" l="1"/>
  <c r="W311" i="3"/>
  <c r="S249" i="1"/>
  <c r="K251" i="3"/>
  <c r="Q312" i="3" l="1"/>
  <c r="R312" i="3" s="1"/>
  <c r="AB312" i="3"/>
  <c r="L251" i="3"/>
  <c r="O251" i="3" s="1"/>
  <c r="X251" i="3" s="1"/>
  <c r="M251" i="3"/>
  <c r="T310" i="1" l="1"/>
  <c r="S312" i="3"/>
  <c r="V251" i="3"/>
  <c r="N251" i="3"/>
  <c r="E252" i="3" s="1"/>
  <c r="D252" i="3"/>
  <c r="P310" i="1" l="1"/>
  <c r="T312" i="3"/>
  <c r="AD312" i="3"/>
  <c r="AC313" i="3" s="1"/>
  <c r="Y252" i="3"/>
  <c r="F252" i="3"/>
  <c r="G252" i="3" s="1"/>
  <c r="U250" i="1" s="1"/>
  <c r="Q310" i="1" l="1"/>
  <c r="U312" i="3"/>
  <c r="H252" i="3"/>
  <c r="AA252" i="3" s="1"/>
  <c r="Z253" i="3" s="1"/>
  <c r="P313" i="3" l="1"/>
  <c r="W312" i="3"/>
  <c r="R250" i="1"/>
  <c r="I252" i="3"/>
  <c r="Q313" i="3" l="1"/>
  <c r="R313" i="3" s="1"/>
  <c r="AB313" i="3"/>
  <c r="K252" i="3"/>
  <c r="S250" i="1"/>
  <c r="T311" i="1" l="1"/>
  <c r="S313" i="3"/>
  <c r="T313" i="3" s="1"/>
  <c r="L252" i="3"/>
  <c r="O252" i="3" s="1"/>
  <c r="X252" i="3" s="1"/>
  <c r="M252" i="3"/>
  <c r="V252" i="3" s="1"/>
  <c r="U313" i="3" l="1"/>
  <c r="Q311" i="1"/>
  <c r="AD313" i="3"/>
  <c r="AC314" i="3" s="1"/>
  <c r="P311" i="1"/>
  <c r="D253" i="3"/>
  <c r="N252" i="3"/>
  <c r="E253" i="3" s="1"/>
  <c r="P314" i="3" l="1"/>
  <c r="W313" i="3"/>
  <c r="F253" i="3"/>
  <c r="G253" i="3" s="1"/>
  <c r="Y253" i="3"/>
  <c r="AB314" i="3" l="1"/>
  <c r="Q314" i="3"/>
  <c r="R314" i="3"/>
  <c r="T312" i="1" s="1"/>
  <c r="U251" i="1"/>
  <c r="H253" i="3"/>
  <c r="S314" i="3" l="1"/>
  <c r="AD314" i="3" s="1"/>
  <c r="AC315" i="3" s="1"/>
  <c r="R251" i="1"/>
  <c r="AA253" i="3"/>
  <c r="Z254" i="3" s="1"/>
  <c r="I253" i="3"/>
  <c r="P312" i="1" l="1"/>
  <c r="T314" i="3"/>
  <c r="S251" i="1"/>
  <c r="K253" i="3"/>
  <c r="M253" i="3" s="1"/>
  <c r="U314" i="3" l="1"/>
  <c r="Q312" i="1"/>
  <c r="D254" i="3"/>
  <c r="N253" i="3"/>
  <c r="E254" i="3" s="1"/>
  <c r="L253" i="3"/>
  <c r="O253" i="3" s="1"/>
  <c r="X253" i="3" s="1"/>
  <c r="V253" i="3"/>
  <c r="P315" i="3" l="1"/>
  <c r="W314" i="3"/>
  <c r="Y254" i="3"/>
  <c r="F254" i="3"/>
  <c r="Q315" i="3" l="1"/>
  <c r="R315" i="3" s="1"/>
  <c r="T313" i="1" s="1"/>
  <c r="AB315" i="3"/>
  <c r="G254" i="3"/>
  <c r="S315" i="3" l="1"/>
  <c r="AD315" i="3" s="1"/>
  <c r="AC316" i="3" s="1"/>
  <c r="H254" i="3"/>
  <c r="U252" i="1"/>
  <c r="R252" i="1"/>
  <c r="I254" i="3"/>
  <c r="AA254" i="3"/>
  <c r="Z255" i="3" s="1"/>
  <c r="P313" i="1" l="1"/>
  <c r="T315" i="3"/>
  <c r="S252" i="1"/>
  <c r="K254" i="3"/>
  <c r="W315" i="3" l="1"/>
  <c r="Q313" i="1"/>
  <c r="U315" i="3"/>
  <c r="P316" i="3" s="1"/>
  <c r="L254" i="3"/>
  <c r="O254" i="3" s="1"/>
  <c r="X254" i="3" s="1"/>
  <c r="M254" i="3"/>
  <c r="V254" i="3" s="1"/>
  <c r="AB316" i="3" l="1"/>
  <c r="Q316" i="3"/>
  <c r="R316" i="3" s="1"/>
  <c r="N254" i="3"/>
  <c r="E255" i="3" s="1"/>
  <c r="D255" i="3"/>
  <c r="T314" i="1" l="1"/>
  <c r="S316" i="3"/>
  <c r="T316" i="3" s="1"/>
  <c r="F255" i="3"/>
  <c r="Y255" i="3"/>
  <c r="U316" i="3" l="1"/>
  <c r="Q314" i="1"/>
  <c r="AD316" i="3"/>
  <c r="AC317" i="3" s="1"/>
  <c r="P314" i="1"/>
  <c r="G255" i="3"/>
  <c r="P317" i="3" l="1"/>
  <c r="W316" i="3"/>
  <c r="U253" i="1"/>
  <c r="H255" i="3"/>
  <c r="R253" i="1"/>
  <c r="I255" i="3"/>
  <c r="AA255" i="3"/>
  <c r="Z256" i="3" s="1"/>
  <c r="R317" i="3" l="1"/>
  <c r="Q317" i="3"/>
  <c r="AB317" i="3"/>
  <c r="S253" i="1"/>
  <c r="K255" i="3"/>
  <c r="T315" i="1" l="1"/>
  <c r="S317" i="3"/>
  <c r="L255" i="3"/>
  <c r="O255" i="3" s="1"/>
  <c r="X255" i="3" s="1"/>
  <c r="M255" i="3"/>
  <c r="V255" i="3" s="1"/>
  <c r="P315" i="1" l="1"/>
  <c r="AD317" i="3"/>
  <c r="AC318" i="3" s="1"/>
  <c r="T317" i="3"/>
  <c r="N255" i="3"/>
  <c r="E256" i="3" s="1"/>
  <c r="D256" i="3"/>
  <c r="Q315" i="1" l="1"/>
  <c r="W317" i="3"/>
  <c r="U317" i="3"/>
  <c r="F256" i="3"/>
  <c r="Y256" i="3"/>
  <c r="L32" i="1" l="1"/>
  <c r="P318" i="3"/>
  <c r="G256" i="3"/>
  <c r="Q318" i="3" l="1"/>
  <c r="R318" i="3" s="1"/>
  <c r="T316" i="1" s="1"/>
  <c r="AB318" i="3"/>
  <c r="U254" i="1"/>
  <c r="H256" i="3"/>
  <c r="S318" i="3" l="1"/>
  <c r="AD318" i="3" s="1"/>
  <c r="AC319" i="3" s="1"/>
  <c r="R254" i="1"/>
  <c r="I256" i="3"/>
  <c r="S254" i="1" s="1"/>
  <c r="AA256" i="3"/>
  <c r="Z257" i="3" s="1"/>
  <c r="K256" i="3"/>
  <c r="P316" i="1" l="1"/>
  <c r="T318" i="3"/>
  <c r="L256" i="3"/>
  <c r="O256" i="3" s="1"/>
  <c r="X256" i="3" s="1"/>
  <c r="M256" i="3"/>
  <c r="U318" i="3" l="1"/>
  <c r="Q316" i="1"/>
  <c r="N256" i="3"/>
  <c r="E257" i="3" s="1"/>
  <c r="D257" i="3"/>
  <c r="V256" i="3"/>
  <c r="P319" i="3" l="1"/>
  <c r="W318" i="3"/>
  <c r="F257" i="3"/>
  <c r="Y257" i="3"/>
  <c r="Q319" i="3" l="1"/>
  <c r="R319" i="3" s="1"/>
  <c r="T317" i="1" s="1"/>
  <c r="AB319" i="3"/>
  <c r="G257" i="3"/>
  <c r="H257" i="3" s="1"/>
  <c r="AD319" i="3" l="1"/>
  <c r="AC320" i="3" s="1"/>
  <c r="S319" i="3"/>
  <c r="I257" i="3"/>
  <c r="U255" i="1"/>
  <c r="AA257" i="3"/>
  <c r="Z258" i="3" s="1"/>
  <c r="R255" i="1"/>
  <c r="P317" i="1" l="1"/>
  <c r="T319" i="3"/>
  <c r="K257" i="3"/>
  <c r="S255" i="1"/>
  <c r="U319" i="3" l="1"/>
  <c r="Q317" i="1"/>
  <c r="L257" i="3"/>
  <c r="O257" i="3" s="1"/>
  <c r="X257" i="3" s="1"/>
  <c r="M257" i="3"/>
  <c r="M27" i="1" s="1"/>
  <c r="P320" i="3" l="1"/>
  <c r="W319" i="3"/>
  <c r="V257" i="3"/>
  <c r="D258" i="3"/>
  <c r="Y258" i="3" s="1"/>
  <c r="N257" i="3"/>
  <c r="E258" i="3" s="1"/>
  <c r="F258" i="3"/>
  <c r="AB320" i="3" l="1"/>
  <c r="Q320" i="3"/>
  <c r="R320" i="3" s="1"/>
  <c r="G258" i="3"/>
  <c r="T320" i="3" l="1"/>
  <c r="T318" i="1"/>
  <c r="S320" i="3"/>
  <c r="U256" i="1"/>
  <c r="H258" i="3"/>
  <c r="I258" i="3"/>
  <c r="U320" i="3" l="1"/>
  <c r="Q318" i="1"/>
  <c r="P318" i="1"/>
  <c r="AD320" i="3"/>
  <c r="AC321" i="3" s="1"/>
  <c r="AA258" i="3"/>
  <c r="Z259" i="3" s="1"/>
  <c r="R256" i="1"/>
  <c r="K258" i="3"/>
  <c r="S256" i="1"/>
  <c r="P321" i="3" l="1"/>
  <c r="W320" i="3"/>
  <c r="L258" i="3"/>
  <c r="O258" i="3" s="1"/>
  <c r="X258" i="3" s="1"/>
  <c r="M258" i="3"/>
  <c r="V258" i="3" s="1"/>
  <c r="Q321" i="3" l="1"/>
  <c r="AB321" i="3"/>
  <c r="D259" i="3"/>
  <c r="N258" i="3"/>
  <c r="E259" i="3" s="1"/>
  <c r="R321" i="3" l="1"/>
  <c r="S321" i="3" s="1"/>
  <c r="Y259" i="3"/>
  <c r="F259" i="3"/>
  <c r="T319" i="1" l="1"/>
  <c r="T321" i="3"/>
  <c r="AD321" i="3"/>
  <c r="AC322" i="3" s="1"/>
  <c r="P319" i="1"/>
  <c r="G259" i="3"/>
  <c r="Q319" i="1" l="1"/>
  <c r="U321" i="3"/>
  <c r="U257" i="1"/>
  <c r="H259" i="3"/>
  <c r="R257" i="1"/>
  <c r="P322" i="3" l="1"/>
  <c r="W321" i="3"/>
  <c r="I259" i="3"/>
  <c r="AA259" i="3"/>
  <c r="Z260" i="3" s="1"/>
  <c r="L259" i="3"/>
  <c r="O259" i="3" s="1"/>
  <c r="X259" i="3" s="1"/>
  <c r="M259" i="3"/>
  <c r="Q322" i="3" l="1"/>
  <c r="AB322" i="3"/>
  <c r="S257" i="1"/>
  <c r="K259" i="3"/>
  <c r="V259" i="3"/>
  <c r="D260" i="3"/>
  <c r="N259" i="3"/>
  <c r="E260" i="3" s="1"/>
  <c r="R322" i="3" l="1"/>
  <c r="S322" i="3" s="1"/>
  <c r="F260" i="3"/>
  <c r="G260" i="3" s="1"/>
  <c r="Y260" i="3"/>
  <c r="T322" i="3" l="1"/>
  <c r="T320" i="1"/>
  <c r="AD322" i="3"/>
  <c r="AC323" i="3" s="1"/>
  <c r="P320" i="1"/>
  <c r="U258" i="1"/>
  <c r="H260" i="3"/>
  <c r="U322" i="3" l="1"/>
  <c r="Q320" i="1"/>
  <c r="R258" i="1"/>
  <c r="AA260" i="3"/>
  <c r="Z261" i="3" s="1"/>
  <c r="I260" i="3"/>
  <c r="P323" i="3" l="1"/>
  <c r="W322" i="3"/>
  <c r="S258" i="1"/>
  <c r="K260" i="3"/>
  <c r="M260" i="3" s="1"/>
  <c r="AB323" i="3" l="1"/>
  <c r="Q323" i="3"/>
  <c r="R323" i="3" s="1"/>
  <c r="N260" i="3"/>
  <c r="E261" i="3" s="1"/>
  <c r="D261" i="3"/>
  <c r="V260" i="3"/>
  <c r="L260" i="3"/>
  <c r="O260" i="3" s="1"/>
  <c r="X260" i="3" s="1"/>
  <c r="S323" i="3" l="1"/>
  <c r="T323" i="3"/>
  <c r="T321" i="1"/>
  <c r="Y261" i="3"/>
  <c r="F261" i="3"/>
  <c r="G261" i="3" s="1"/>
  <c r="U323" i="3" l="1"/>
  <c r="P324" i="3" s="1"/>
  <c r="W323" i="3"/>
  <c r="Q321" i="1"/>
  <c r="P321" i="1"/>
  <c r="AD323" i="3"/>
  <c r="AC324" i="3" s="1"/>
  <c r="H261" i="3"/>
  <c r="I261" i="3" s="1"/>
  <c r="U259" i="1"/>
  <c r="Q324" i="3" l="1"/>
  <c r="AB324" i="3"/>
  <c r="R259" i="1"/>
  <c r="AA261" i="3"/>
  <c r="Z262" i="3" s="1"/>
  <c r="K261" i="3"/>
  <c r="S259" i="1"/>
  <c r="L261" i="3"/>
  <c r="O261" i="3" s="1"/>
  <c r="X261" i="3" s="1"/>
  <c r="M261" i="3"/>
  <c r="V261" i="3" s="1"/>
  <c r="R324" i="3" l="1"/>
  <c r="D262" i="3"/>
  <c r="N261" i="3"/>
  <c r="E262" i="3" s="1"/>
  <c r="T322" i="1" l="1"/>
  <c r="S324" i="3"/>
  <c r="T324" i="3" s="1"/>
  <c r="F262" i="3"/>
  <c r="Y262" i="3"/>
  <c r="U324" i="3" l="1"/>
  <c r="Q322" i="1"/>
  <c r="AD324" i="3"/>
  <c r="AC325" i="3" s="1"/>
  <c r="P322" i="1"/>
  <c r="G262" i="3"/>
  <c r="U260" i="1" s="1"/>
  <c r="H262" i="3"/>
  <c r="P325" i="3" l="1"/>
  <c r="W324" i="3"/>
  <c r="R260" i="1"/>
  <c r="I262" i="3"/>
  <c r="AA262" i="3"/>
  <c r="Z263" i="3" s="1"/>
  <c r="Q325" i="3" l="1"/>
  <c r="AB325" i="3"/>
  <c r="R325" i="3" s="1"/>
  <c r="S325" i="3" s="1"/>
  <c r="S260" i="1"/>
  <c r="K262" i="3"/>
  <c r="T325" i="3" l="1"/>
  <c r="T323" i="1"/>
  <c r="P323" i="1"/>
  <c r="AD325" i="3"/>
  <c r="AC326" i="3" s="1"/>
  <c r="L262" i="3"/>
  <c r="O262" i="3" s="1"/>
  <c r="X262" i="3" s="1"/>
  <c r="M262" i="3"/>
  <c r="V262" i="3" s="1"/>
  <c r="U325" i="3" l="1"/>
  <c r="Q323" i="1"/>
  <c r="D263" i="3"/>
  <c r="N262" i="3"/>
  <c r="E263" i="3" s="1"/>
  <c r="P326" i="3" l="1"/>
  <c r="W325" i="3"/>
  <c r="Y263" i="3"/>
  <c r="F263" i="3"/>
  <c r="Q326" i="3" l="1"/>
  <c r="AB326" i="3"/>
  <c r="R326" i="3" s="1"/>
  <c r="S326" i="3" s="1"/>
  <c r="G263" i="3"/>
  <c r="T326" i="3" l="1"/>
  <c r="T324" i="1"/>
  <c r="P324" i="1"/>
  <c r="AD326" i="3"/>
  <c r="AC327" i="3" s="1"/>
  <c r="U261" i="1"/>
  <c r="H263" i="3"/>
  <c r="R261" i="1" s="1"/>
  <c r="U326" i="3" l="1"/>
  <c r="Q324" i="1"/>
  <c r="AA263" i="3"/>
  <c r="Z264" i="3" s="1"/>
  <c r="I263" i="3"/>
  <c r="P327" i="3" l="1"/>
  <c r="W326" i="3"/>
  <c r="S261" i="1"/>
  <c r="K263" i="3"/>
  <c r="L263" i="3"/>
  <c r="O263" i="3" s="1"/>
  <c r="X263" i="3" s="1"/>
  <c r="M263" i="3"/>
  <c r="V263" i="3" s="1"/>
  <c r="Q327" i="3" l="1"/>
  <c r="R327" i="3" s="1"/>
  <c r="AB327" i="3"/>
  <c r="D264" i="3"/>
  <c r="N263" i="3"/>
  <c r="E264" i="3" s="1"/>
  <c r="T325" i="1" l="1"/>
  <c r="S327" i="3"/>
  <c r="F264" i="3"/>
  <c r="G264" i="3" s="1"/>
  <c r="Y264" i="3"/>
  <c r="P325" i="1" l="1"/>
  <c r="AD327" i="3"/>
  <c r="AC328" i="3" s="1"/>
  <c r="T327" i="3"/>
  <c r="U262" i="1"/>
  <c r="H264" i="3"/>
  <c r="Q325" i="1" l="1"/>
  <c r="U327" i="3"/>
  <c r="P328" i="3" s="1"/>
  <c r="W327" i="3"/>
  <c r="R262" i="1"/>
  <c r="I264" i="3"/>
  <c r="AA264" i="3"/>
  <c r="Z265" i="3" s="1"/>
  <c r="AB328" i="3" l="1"/>
  <c r="Q328" i="3"/>
  <c r="R328" i="3" s="1"/>
  <c r="T326" i="1" s="1"/>
  <c r="K264" i="3"/>
  <c r="S262" i="1"/>
  <c r="S328" i="3" l="1"/>
  <c r="AD328" i="3" s="1"/>
  <c r="AC329" i="3" s="1"/>
  <c r="L264" i="3"/>
  <c r="O264" i="3" s="1"/>
  <c r="X264" i="3" s="1"/>
  <c r="M264" i="3"/>
  <c r="V264" i="3" s="1"/>
  <c r="P326" i="1" l="1"/>
  <c r="T328" i="3"/>
  <c r="N264" i="3"/>
  <c r="E265" i="3" s="1"/>
  <c r="D265" i="3"/>
  <c r="U328" i="3" l="1"/>
  <c r="P329" i="3" s="1"/>
  <c r="W328" i="3"/>
  <c r="Q326" i="1"/>
  <c r="F265" i="3"/>
  <c r="Y265" i="3"/>
  <c r="AB329" i="3" l="1"/>
  <c r="Q329" i="3"/>
  <c r="R329" i="3" s="1"/>
  <c r="G265" i="3"/>
  <c r="S329" i="3" l="1"/>
  <c r="T327" i="1"/>
  <c r="U263" i="1"/>
  <c r="H265" i="3"/>
  <c r="P327" i="1" l="1"/>
  <c r="T329" i="3"/>
  <c r="AD329" i="3"/>
  <c r="AC330" i="3" s="1"/>
  <c r="R263" i="1"/>
  <c r="AA265" i="3"/>
  <c r="Z266" i="3" s="1"/>
  <c r="I265" i="3"/>
  <c r="S263" i="1"/>
  <c r="K265" i="3"/>
  <c r="Q327" i="1" l="1"/>
  <c r="W329" i="3"/>
  <c r="U329" i="3"/>
  <c r="L265" i="3"/>
  <c r="O265" i="3" s="1"/>
  <c r="X265" i="3" s="1"/>
  <c r="M265" i="3"/>
  <c r="N265" i="3" s="1"/>
  <c r="E266" i="3" s="1"/>
  <c r="V265" i="3"/>
  <c r="D266" i="3"/>
  <c r="P330" i="3" l="1"/>
  <c r="L33" i="1"/>
  <c r="F266" i="3"/>
  <c r="Y266" i="3"/>
  <c r="Q330" i="3" l="1"/>
  <c r="AB330" i="3"/>
  <c r="R330" i="3" s="1"/>
  <c r="G266" i="3"/>
  <c r="U264" i="1" s="1"/>
  <c r="H266" i="3"/>
  <c r="I266" i="3" s="1"/>
  <c r="T330" i="3" l="1"/>
  <c r="T328" i="1"/>
  <c r="AD330" i="3"/>
  <c r="AC331" i="3" s="1"/>
  <c r="S330" i="3"/>
  <c r="P328" i="1" s="1"/>
  <c r="K266" i="3"/>
  <c r="M266" i="3" s="1"/>
  <c r="S264" i="1"/>
  <c r="AA266" i="3"/>
  <c r="Z267" i="3" s="1"/>
  <c r="R264" i="1"/>
  <c r="U330" i="3" l="1"/>
  <c r="Q328" i="1"/>
  <c r="N266" i="3"/>
  <c r="E267" i="3" s="1"/>
  <c r="D267" i="3"/>
  <c r="V266" i="3"/>
  <c r="L266" i="3"/>
  <c r="O266" i="3" s="1"/>
  <c r="X266" i="3" s="1"/>
  <c r="P331" i="3" l="1"/>
  <c r="W330" i="3"/>
  <c r="F267" i="3"/>
  <c r="G267" i="3" s="1"/>
  <c r="Y267" i="3"/>
  <c r="R331" i="3" l="1"/>
  <c r="Q331" i="3"/>
  <c r="AB331" i="3"/>
  <c r="H267" i="3"/>
  <c r="I267" i="3" s="1"/>
  <c r="U265" i="1"/>
  <c r="T329" i="1" l="1"/>
  <c r="S331" i="3"/>
  <c r="S265" i="1"/>
  <c r="K267" i="3"/>
  <c r="R265" i="1"/>
  <c r="AA267" i="3"/>
  <c r="P329" i="1" l="1"/>
  <c r="T331" i="3"/>
  <c r="AD331" i="3"/>
  <c r="AC332" i="3" s="1"/>
  <c r="M267" i="3"/>
  <c r="L267" i="3"/>
  <c r="O267" i="3" s="1"/>
  <c r="X267" i="3" s="1"/>
  <c r="Z268" i="3"/>
  <c r="U331" i="3" l="1"/>
  <c r="P332" i="3" s="1"/>
  <c r="Q329" i="1"/>
  <c r="W331" i="3"/>
  <c r="D268" i="3"/>
  <c r="N267" i="3"/>
  <c r="E268" i="3" s="1"/>
  <c r="V267" i="3"/>
  <c r="Q332" i="3" l="1"/>
  <c r="R332" i="3" s="1"/>
  <c r="AB332" i="3"/>
  <c r="Y268" i="3"/>
  <c r="F268" i="3"/>
  <c r="T330" i="1" l="1"/>
  <c r="S332" i="3"/>
  <c r="T332" i="3" s="1"/>
  <c r="G268" i="3"/>
  <c r="W332" i="3" l="1"/>
  <c r="Q330" i="1"/>
  <c r="U332" i="3"/>
  <c r="P333" i="3" s="1"/>
  <c r="AD332" i="3"/>
  <c r="AC333" i="3" s="1"/>
  <c r="P330" i="1"/>
  <c r="H268" i="3"/>
  <c r="U266" i="1"/>
  <c r="Q333" i="3" l="1"/>
  <c r="AB333" i="3"/>
  <c r="AA268" i="3"/>
  <c r="Z269" i="3" s="1"/>
  <c r="I268" i="3"/>
  <c r="R266" i="1"/>
  <c r="R333" i="3" l="1"/>
  <c r="K268" i="3"/>
  <c r="S266" i="1"/>
  <c r="T331" i="1" l="1"/>
  <c r="S333" i="3"/>
  <c r="M268" i="3"/>
  <c r="L268" i="3"/>
  <c r="O268" i="3" s="1"/>
  <c r="X268" i="3" s="1"/>
  <c r="T333" i="3" l="1"/>
  <c r="AD333" i="3"/>
  <c r="AC334" i="3" s="1"/>
  <c r="P331" i="1"/>
  <c r="D269" i="3"/>
  <c r="N268" i="3"/>
  <c r="E269" i="3" s="1"/>
  <c r="V268" i="3"/>
  <c r="U333" i="3" l="1"/>
  <c r="Q331" i="1"/>
  <c r="F269" i="3"/>
  <c r="Y269" i="3"/>
  <c r="P334" i="3" l="1"/>
  <c r="W333" i="3"/>
  <c r="G269" i="3"/>
  <c r="AB334" i="3" l="1"/>
  <c r="Q334" i="3"/>
  <c r="R334" i="3" s="1"/>
  <c r="U267" i="1"/>
  <c r="H269" i="3"/>
  <c r="I269" i="3" s="1"/>
  <c r="S334" i="3" l="1"/>
  <c r="T334" i="3"/>
  <c r="T332" i="1"/>
  <c r="S267" i="1"/>
  <c r="K269" i="3"/>
  <c r="AA269" i="3"/>
  <c r="Z270" i="3" s="1"/>
  <c r="R267" i="1"/>
  <c r="Q332" i="1" l="1"/>
  <c r="U334" i="3"/>
  <c r="P332" i="1"/>
  <c r="AD334" i="3"/>
  <c r="AC335" i="3" s="1"/>
  <c r="M269" i="3"/>
  <c r="L269" i="3"/>
  <c r="O269" i="3" s="1"/>
  <c r="X269" i="3" s="1"/>
  <c r="W334" i="3" l="1"/>
  <c r="P335" i="3"/>
  <c r="V269" i="3"/>
  <c r="D270" i="3"/>
  <c r="N269" i="3"/>
  <c r="E270" i="3" s="1"/>
  <c r="M28" i="1"/>
  <c r="Q335" i="3" l="1"/>
  <c r="R335" i="3" s="1"/>
  <c r="T333" i="1" s="1"/>
  <c r="AB335" i="3"/>
  <c r="F270" i="3"/>
  <c r="Y270" i="3"/>
  <c r="S335" i="3" l="1"/>
  <c r="G270" i="3"/>
  <c r="AD335" i="3" l="1"/>
  <c r="AC336" i="3" s="1"/>
  <c r="T335" i="3"/>
  <c r="P333" i="1"/>
  <c r="H270" i="3"/>
  <c r="U268" i="1"/>
  <c r="U335" i="3" l="1"/>
  <c r="Q333" i="1"/>
  <c r="I270" i="3"/>
  <c r="AA270" i="3"/>
  <c r="Z271" i="3" s="1"/>
  <c r="R268" i="1"/>
  <c r="W335" i="3" l="1"/>
  <c r="P336" i="3"/>
  <c r="S268" i="1"/>
  <c r="K270" i="3"/>
  <c r="AB336" i="3" l="1"/>
  <c r="Q336" i="3"/>
  <c r="M270" i="3"/>
  <c r="L270" i="3"/>
  <c r="O270" i="3" s="1"/>
  <c r="X270" i="3" s="1"/>
  <c r="R336" i="3" l="1"/>
  <c r="V270" i="3"/>
  <c r="D271" i="3"/>
  <c r="N270" i="3"/>
  <c r="E271" i="3" s="1"/>
  <c r="T334" i="1" l="1"/>
  <c r="S336" i="3"/>
  <c r="T336" i="3" s="1"/>
  <c r="F271" i="3"/>
  <c r="G271" i="3" s="1"/>
  <c r="Y271" i="3"/>
  <c r="Q334" i="1" l="1"/>
  <c r="U336" i="3"/>
  <c r="AD336" i="3"/>
  <c r="AC337" i="3" s="1"/>
  <c r="P334" i="1"/>
  <c r="H271" i="3"/>
  <c r="I271" i="3" s="1"/>
  <c r="U269" i="1"/>
  <c r="W336" i="3" l="1"/>
  <c r="P337" i="3"/>
  <c r="R269" i="1"/>
  <c r="AA271" i="3"/>
  <c r="Z272" i="3" s="1"/>
  <c r="K271" i="3"/>
  <c r="S269" i="1"/>
  <c r="AB337" i="3" l="1"/>
  <c r="Q337" i="3"/>
  <c r="R337" i="3" s="1"/>
  <c r="L271" i="3"/>
  <c r="O271" i="3" s="1"/>
  <c r="X271" i="3" s="1"/>
  <c r="M271" i="3"/>
  <c r="D272" i="3"/>
  <c r="Y272" i="3" s="1"/>
  <c r="N271" i="3"/>
  <c r="E272" i="3" s="1"/>
  <c r="V271" i="3"/>
  <c r="F272" i="3"/>
  <c r="S337" i="3" l="1"/>
  <c r="T335" i="1"/>
  <c r="T337" i="3"/>
  <c r="G272" i="3"/>
  <c r="P335" i="1" l="1"/>
  <c r="AD337" i="3"/>
  <c r="AC338" i="3" s="1"/>
  <c r="U337" i="3"/>
  <c r="Q335" i="1"/>
  <c r="H272" i="3"/>
  <c r="U270" i="1"/>
  <c r="P338" i="3"/>
  <c r="W337" i="3"/>
  <c r="AA272" i="3" l="1"/>
  <c r="Z273" i="3" s="1"/>
  <c r="R270" i="1"/>
  <c r="I272" i="3"/>
  <c r="Q338" i="3"/>
  <c r="AB338" i="3"/>
  <c r="K272" i="3" l="1"/>
  <c r="S270" i="1"/>
  <c r="R338" i="3"/>
  <c r="S338" i="3" s="1"/>
  <c r="L272" i="3"/>
  <c r="O272" i="3" s="1"/>
  <c r="X272" i="3" s="1"/>
  <c r="M272" i="3"/>
  <c r="V272" i="3" s="1"/>
  <c r="T338" i="3" l="1"/>
  <c r="T336" i="1"/>
  <c r="AD338" i="3"/>
  <c r="AC339" i="3" s="1"/>
  <c r="P336" i="1"/>
  <c r="D273" i="3"/>
  <c r="N272" i="3"/>
  <c r="E273" i="3" s="1"/>
  <c r="U338" i="3" l="1"/>
  <c r="Q336" i="1"/>
  <c r="F273" i="3"/>
  <c r="Y273" i="3"/>
  <c r="P339" i="3" l="1"/>
  <c r="W338" i="3"/>
  <c r="G273" i="3"/>
  <c r="Q339" i="3" l="1"/>
  <c r="R339" i="3" s="1"/>
  <c r="AB339" i="3"/>
  <c r="U271" i="1"/>
  <c r="H273" i="3"/>
  <c r="T337" i="1" l="1"/>
  <c r="S339" i="3"/>
  <c r="AD339" i="3" s="1"/>
  <c r="AC340" i="3" s="1"/>
  <c r="I273" i="3"/>
  <c r="AA273" i="3"/>
  <c r="Z274" i="3" s="1"/>
  <c r="R271" i="1"/>
  <c r="P337" i="1" l="1"/>
  <c r="T339" i="3"/>
  <c r="K273" i="3"/>
  <c r="S271" i="1"/>
  <c r="U339" i="3" l="1"/>
  <c r="Q337" i="1"/>
  <c r="L273" i="3"/>
  <c r="O273" i="3" s="1"/>
  <c r="X273" i="3" s="1"/>
  <c r="M273" i="3"/>
  <c r="V273" i="3" s="1"/>
  <c r="P340" i="3" l="1"/>
  <c r="W339" i="3"/>
  <c r="D274" i="3"/>
  <c r="N273" i="3"/>
  <c r="E274" i="3" s="1"/>
  <c r="Q340" i="3" l="1"/>
  <c r="R340" i="3" s="1"/>
  <c r="AB340" i="3"/>
  <c r="F274" i="3"/>
  <c r="G274" i="3" s="1"/>
  <c r="Y274" i="3"/>
  <c r="S340" i="3" l="1"/>
  <c r="T338" i="1"/>
  <c r="U272" i="1"/>
  <c r="H274" i="3"/>
  <c r="I274" i="3" s="1"/>
  <c r="P338" i="1" l="1"/>
  <c r="T340" i="3"/>
  <c r="AD340" i="3"/>
  <c r="AC341" i="3" s="1"/>
  <c r="S272" i="1"/>
  <c r="K274" i="3"/>
  <c r="AA274" i="3"/>
  <c r="Z275" i="3" s="1"/>
  <c r="R272" i="1"/>
  <c r="Q338" i="1" l="1"/>
  <c r="U340" i="3"/>
  <c r="P341" i="3"/>
  <c r="W340" i="3"/>
  <c r="L274" i="3"/>
  <c r="O274" i="3" s="1"/>
  <c r="X274" i="3" s="1"/>
  <c r="M274" i="3"/>
  <c r="V274" i="3" s="1"/>
  <c r="AB341" i="3" l="1"/>
  <c r="Q341" i="3"/>
  <c r="R341" i="3"/>
  <c r="N274" i="3"/>
  <c r="E275" i="3" s="1"/>
  <c r="D275" i="3"/>
  <c r="S341" i="3" l="1"/>
  <c r="AD341" i="3" s="1"/>
  <c r="AC342" i="3" s="1"/>
  <c r="T339" i="1"/>
  <c r="F275" i="3"/>
  <c r="Y275" i="3"/>
  <c r="P339" i="1" l="1"/>
  <c r="T341" i="3"/>
  <c r="G275" i="3"/>
  <c r="Q339" i="1" l="1"/>
  <c r="U341" i="3"/>
  <c r="H275" i="3"/>
  <c r="I275" i="3" s="1"/>
  <c r="U273" i="1"/>
  <c r="W341" i="3" l="1"/>
  <c r="P342" i="3"/>
  <c r="L34" i="1"/>
  <c r="AA275" i="3"/>
  <c r="Z276" i="3" s="1"/>
  <c r="R273" i="1"/>
  <c r="S273" i="1"/>
  <c r="K275" i="3"/>
  <c r="AB342" i="3" l="1"/>
  <c r="Q342" i="3"/>
  <c r="R342" i="3" s="1"/>
  <c r="M275" i="3"/>
  <c r="L275" i="3"/>
  <c r="O275" i="3" s="1"/>
  <c r="X275" i="3" s="1"/>
  <c r="S342" i="3" l="1"/>
  <c r="T340" i="1"/>
  <c r="V275" i="3"/>
  <c r="D276" i="3"/>
  <c r="N275" i="3"/>
  <c r="E276" i="3" s="1"/>
  <c r="P340" i="1" l="1"/>
  <c r="T342" i="3"/>
  <c r="AD342" i="3"/>
  <c r="AC343" i="3" s="1"/>
  <c r="U342" i="3"/>
  <c r="Q340" i="1"/>
  <c r="Y276" i="3"/>
  <c r="F276" i="3"/>
  <c r="P343" i="3" l="1"/>
  <c r="W342" i="3"/>
  <c r="G276" i="3"/>
  <c r="AB343" i="3" l="1"/>
  <c r="Q343" i="3"/>
  <c r="R343" i="3" s="1"/>
  <c r="U274" i="1"/>
  <c r="H276" i="3"/>
  <c r="S343" i="3" l="1"/>
  <c r="T341" i="1"/>
  <c r="I276" i="3"/>
  <c r="R274" i="1"/>
  <c r="AA276" i="3"/>
  <c r="Z277" i="3" s="1"/>
  <c r="P341" i="1" l="1"/>
  <c r="AD343" i="3"/>
  <c r="AC344" i="3" s="1"/>
  <c r="T343" i="3"/>
  <c r="K276" i="3"/>
  <c r="S274" i="1"/>
  <c r="U343" i="3" l="1"/>
  <c r="Q341" i="1"/>
  <c r="M276" i="3"/>
  <c r="L276" i="3"/>
  <c r="O276" i="3" s="1"/>
  <c r="X276" i="3" s="1"/>
  <c r="P344" i="3" l="1"/>
  <c r="W343" i="3"/>
  <c r="N276" i="3"/>
  <c r="E277" i="3" s="1"/>
  <c r="D277" i="3"/>
  <c r="V276" i="3"/>
  <c r="Q344" i="3" l="1"/>
  <c r="R344" i="3" s="1"/>
  <c r="T342" i="1" s="1"/>
  <c r="AB344" i="3"/>
  <c r="F277" i="3"/>
  <c r="G277" i="3" s="1"/>
  <c r="Y277" i="3"/>
  <c r="S344" i="3" l="1"/>
  <c r="AD344" i="3" s="1"/>
  <c r="AC345" i="3" s="1"/>
  <c r="H277" i="3"/>
  <c r="I277" i="3" s="1"/>
  <c r="U275" i="1"/>
  <c r="P342" i="1" l="1"/>
  <c r="T344" i="3"/>
  <c r="K277" i="3"/>
  <c r="S275" i="1"/>
  <c r="R275" i="1"/>
  <c r="AA277" i="3"/>
  <c r="Z278" i="3" s="1"/>
  <c r="U344" i="3" l="1"/>
  <c r="Q342" i="1"/>
  <c r="L277" i="3"/>
  <c r="O277" i="3" s="1"/>
  <c r="X277" i="3" s="1"/>
  <c r="M277" i="3"/>
  <c r="V277" i="3" l="1"/>
  <c r="D278" i="3"/>
  <c r="N277" i="3"/>
  <c r="E278" i="3" s="1"/>
  <c r="P345" i="3"/>
  <c r="W344" i="3"/>
  <c r="Y278" i="3" l="1"/>
  <c r="F278" i="3"/>
  <c r="G278" i="3" s="1"/>
  <c r="AB345" i="3"/>
  <c r="Q345" i="3"/>
  <c r="R345" i="3" s="1"/>
  <c r="T343" i="1" l="1"/>
  <c r="S345" i="3"/>
  <c r="T345" i="3" s="1"/>
  <c r="H278" i="3"/>
  <c r="U276" i="1"/>
  <c r="U345" i="3" l="1"/>
  <c r="Q343" i="1"/>
  <c r="AD345" i="3"/>
  <c r="AC346" i="3" s="1"/>
  <c r="P343" i="1"/>
  <c r="I278" i="3"/>
  <c r="AA278" i="3"/>
  <c r="Z279" i="3" s="1"/>
  <c r="R276" i="1"/>
  <c r="P346" i="3" l="1"/>
  <c r="W345" i="3"/>
  <c r="K278" i="3"/>
  <c r="S276" i="1"/>
  <c r="AB346" i="3" l="1"/>
  <c r="Q346" i="3"/>
  <c r="M278" i="3"/>
  <c r="L278" i="3"/>
  <c r="O278" i="3" s="1"/>
  <c r="X278" i="3" s="1"/>
  <c r="R346" i="3" l="1"/>
  <c r="V278" i="3"/>
  <c r="N278" i="3"/>
  <c r="E279" i="3" s="1"/>
  <c r="D279" i="3"/>
  <c r="S346" i="3" l="1"/>
  <c r="T346" i="3" s="1"/>
  <c r="T344" i="1"/>
  <c r="Y279" i="3"/>
  <c r="F279" i="3"/>
  <c r="Q344" i="1" l="1"/>
  <c r="U346" i="3"/>
  <c r="AD346" i="3"/>
  <c r="AC347" i="3" s="1"/>
  <c r="P344" i="1"/>
  <c r="G279" i="3"/>
  <c r="P347" i="3" l="1"/>
  <c r="W346" i="3"/>
  <c r="Q347" i="3"/>
  <c r="R347" i="3" s="1"/>
  <c r="AB347" i="3"/>
  <c r="U277" i="1"/>
  <c r="H279" i="3"/>
  <c r="T345" i="1" l="1"/>
  <c r="S347" i="3"/>
  <c r="T347" i="3" s="1"/>
  <c r="I279" i="3"/>
  <c r="R277" i="1"/>
  <c r="AA279" i="3"/>
  <c r="Z280" i="3" s="1"/>
  <c r="Q345" i="1" l="1"/>
  <c r="U347" i="3"/>
  <c r="AD347" i="3"/>
  <c r="AC348" i="3" s="1"/>
  <c r="P345" i="1"/>
  <c r="K279" i="3"/>
  <c r="S277" i="1"/>
  <c r="W347" i="3" l="1"/>
  <c r="P348" i="3"/>
  <c r="L279" i="3"/>
  <c r="O279" i="3" s="1"/>
  <c r="X279" i="3" s="1"/>
  <c r="M279" i="3"/>
  <c r="AB348" i="3" l="1"/>
  <c r="Q348" i="3"/>
  <c r="R348" i="3" s="1"/>
  <c r="N279" i="3"/>
  <c r="E280" i="3" s="1"/>
  <c r="D280" i="3"/>
  <c r="V279" i="3"/>
  <c r="S348" i="3" l="1"/>
  <c r="T348" i="3" s="1"/>
  <c r="T346" i="1"/>
  <c r="Y280" i="3"/>
  <c r="F280" i="3"/>
  <c r="G280" i="3" s="1"/>
  <c r="AD348" i="3" l="1"/>
  <c r="AC349" i="3" s="1"/>
  <c r="P346" i="1"/>
  <c r="Q346" i="1"/>
  <c r="U348" i="3"/>
  <c r="H280" i="3"/>
  <c r="AA280" i="3" s="1"/>
  <c r="Z281" i="3" s="1"/>
  <c r="U278" i="1"/>
  <c r="P349" i="3" l="1"/>
  <c r="W348" i="3"/>
  <c r="R278" i="1"/>
  <c r="I280" i="3"/>
  <c r="AB349" i="3" l="1"/>
  <c r="Q349" i="3"/>
  <c r="S278" i="1"/>
  <c r="K280" i="3"/>
  <c r="R349" i="3" l="1"/>
  <c r="L280" i="3"/>
  <c r="O280" i="3" s="1"/>
  <c r="X280" i="3" s="1"/>
  <c r="M280" i="3"/>
  <c r="V280" i="3" s="1"/>
  <c r="S349" i="3" l="1"/>
  <c r="T347" i="1"/>
  <c r="D281" i="3"/>
  <c r="N280" i="3"/>
  <c r="E281" i="3" s="1"/>
  <c r="P347" i="1" l="1"/>
  <c r="AD349" i="3"/>
  <c r="AC350" i="3" s="1"/>
  <c r="T349" i="3"/>
  <c r="Y281" i="3"/>
  <c r="F281" i="3"/>
  <c r="Q347" i="1" l="1"/>
  <c r="U349" i="3"/>
  <c r="G281" i="3"/>
  <c r="P350" i="3" l="1"/>
  <c r="W349" i="3"/>
  <c r="U279" i="1"/>
  <c r="H281" i="3"/>
  <c r="AB350" i="3" l="1"/>
  <c r="Q350" i="3"/>
  <c r="R350" i="3" s="1"/>
  <c r="I281" i="3"/>
  <c r="R279" i="1"/>
  <c r="AA281" i="3"/>
  <c r="Z282" i="3" s="1"/>
  <c r="S350" i="3" l="1"/>
  <c r="T348" i="1"/>
  <c r="K281" i="3"/>
  <c r="S279" i="1"/>
  <c r="P348" i="1" l="1"/>
  <c r="AD350" i="3"/>
  <c r="AC351" i="3" s="1"/>
  <c r="T350" i="3"/>
  <c r="L281" i="3"/>
  <c r="O281" i="3" s="1"/>
  <c r="X281" i="3" s="1"/>
  <c r="M281" i="3"/>
  <c r="U350" i="3" l="1"/>
  <c r="Q348" i="1"/>
  <c r="N281" i="3"/>
  <c r="E282" i="3" s="1"/>
  <c r="M29" i="1"/>
  <c r="D282" i="3"/>
  <c r="V281" i="3"/>
  <c r="P351" i="3" l="1"/>
  <c r="W350" i="3"/>
  <c r="Y282" i="3"/>
  <c r="F282" i="3"/>
  <c r="Q351" i="3" l="1"/>
  <c r="R351" i="3" s="1"/>
  <c r="AB351" i="3"/>
  <c r="G282" i="3"/>
  <c r="S351" i="3" l="1"/>
  <c r="T351" i="3" s="1"/>
  <c r="T349" i="1"/>
  <c r="U280" i="1"/>
  <c r="H282" i="3"/>
  <c r="AD351" i="3" l="1"/>
  <c r="AC352" i="3" s="1"/>
  <c r="P349" i="1"/>
  <c r="Q349" i="1"/>
  <c r="U351" i="3"/>
  <c r="I282" i="3"/>
  <c r="R280" i="1"/>
  <c r="AA282" i="3"/>
  <c r="Z283" i="3" s="1"/>
  <c r="W351" i="3" l="1"/>
  <c r="P352" i="3"/>
  <c r="AB352" i="3" s="1"/>
  <c r="K282" i="3"/>
  <c r="S280" i="1"/>
  <c r="Q352" i="3"/>
  <c r="L282" i="3" l="1"/>
  <c r="O282" i="3" s="1"/>
  <c r="X282" i="3" s="1"/>
  <c r="M282" i="3"/>
  <c r="D283" i="3" s="1"/>
  <c r="R352" i="3"/>
  <c r="V282" i="3" l="1"/>
  <c r="N282" i="3"/>
  <c r="E283" i="3" s="1"/>
  <c r="Y283" i="3"/>
  <c r="F283" i="3"/>
  <c r="S352" i="3"/>
  <c r="T350" i="1"/>
  <c r="G283" i="3" l="1"/>
  <c r="U281" i="1" s="1"/>
  <c r="H283" i="3"/>
  <c r="T352" i="3"/>
  <c r="AD352" i="3"/>
  <c r="AC353" i="3" s="1"/>
  <c r="P350" i="1"/>
  <c r="I283" i="3" l="1"/>
  <c r="K283" i="3"/>
  <c r="S281" i="1"/>
  <c r="R281" i="1"/>
  <c r="AA283" i="3"/>
  <c r="Z284" i="3" s="1"/>
  <c r="Q350" i="1"/>
  <c r="U352" i="3"/>
  <c r="L283" i="3" l="1"/>
  <c r="O283" i="3" s="1"/>
  <c r="X283" i="3" s="1"/>
  <c r="M283" i="3"/>
  <c r="V283" i="3" s="1"/>
  <c r="W352" i="3"/>
  <c r="P353" i="3"/>
  <c r="N283" i="3" l="1"/>
  <c r="E284" i="3" s="1"/>
  <c r="D284" i="3"/>
  <c r="Q353" i="3"/>
  <c r="AB353" i="3"/>
  <c r="F284" i="3" l="1"/>
  <c r="G284" i="3" s="1"/>
  <c r="Y284" i="3"/>
  <c r="R353" i="3"/>
  <c r="T351" i="1" l="1"/>
  <c r="S353" i="3"/>
  <c r="U282" i="1"/>
  <c r="H284" i="3"/>
  <c r="I284" i="3" s="1"/>
  <c r="P351" i="1" l="1"/>
  <c r="AD353" i="3"/>
  <c r="AC354" i="3" s="1"/>
  <c r="T353" i="3"/>
  <c r="K284" i="3"/>
  <c r="S282" i="1"/>
  <c r="R282" i="1"/>
  <c r="AA284" i="3"/>
  <c r="Z285" i="3" s="1"/>
  <c r="U353" i="3" l="1"/>
  <c r="Q351" i="1"/>
  <c r="L284" i="3"/>
  <c r="O284" i="3" s="1"/>
  <c r="X284" i="3" s="1"/>
  <c r="M284" i="3"/>
  <c r="V284" i="3" s="1"/>
  <c r="W353" i="3" l="1"/>
  <c r="L35" i="1"/>
  <c r="P354" i="3"/>
  <c r="N284" i="3"/>
  <c r="E285" i="3" s="1"/>
  <c r="D285" i="3"/>
  <c r="AB354" i="3"/>
  <c r="Q354" i="3"/>
  <c r="R354" i="3" s="1"/>
  <c r="Y285" i="3" l="1"/>
  <c r="F285" i="3"/>
  <c r="G285" i="3" s="1"/>
  <c r="T352" i="1"/>
  <c r="S354" i="3"/>
  <c r="T354" i="3" s="1"/>
  <c r="U283" i="1" l="1"/>
  <c r="H285" i="3"/>
  <c r="U354" i="3"/>
  <c r="Q352" i="1"/>
  <c r="AD354" i="3"/>
  <c r="AC355" i="3" s="1"/>
  <c r="P352" i="1"/>
  <c r="I285" i="3" l="1"/>
  <c r="R283" i="1"/>
  <c r="AA285" i="3"/>
  <c r="Z286" i="3" s="1"/>
  <c r="P355" i="3"/>
  <c r="W354" i="3"/>
  <c r="K285" i="3" l="1"/>
  <c r="S283" i="1"/>
  <c r="AB355" i="3"/>
  <c r="Q355" i="3"/>
  <c r="L285" i="3" l="1"/>
  <c r="O285" i="3" s="1"/>
  <c r="X285" i="3" s="1"/>
  <c r="M285" i="3"/>
  <c r="V285" i="3" s="1"/>
  <c r="R355" i="3"/>
  <c r="D286" i="3" l="1"/>
  <c r="N285" i="3"/>
  <c r="E286" i="3" s="1"/>
  <c r="T353" i="1"/>
  <c r="S355" i="3"/>
  <c r="T355" i="3" s="1"/>
  <c r="F286" i="3" l="1"/>
  <c r="Y286" i="3"/>
  <c r="Q353" i="1"/>
  <c r="U355" i="3"/>
  <c r="AD355" i="3"/>
  <c r="AC356" i="3" s="1"/>
  <c r="P353" i="1"/>
  <c r="G286" i="3" l="1"/>
  <c r="P356" i="3"/>
  <c r="W355" i="3"/>
  <c r="U284" i="1" l="1"/>
  <c r="H286" i="3"/>
  <c r="Q356" i="3"/>
  <c r="AB356" i="3"/>
  <c r="AA286" i="3" l="1"/>
  <c r="Z287" i="3" s="1"/>
  <c r="R284" i="1"/>
  <c r="I286" i="3"/>
  <c r="S284" i="1" s="1"/>
  <c r="K286" i="3"/>
  <c r="R356" i="3"/>
  <c r="L286" i="3" l="1"/>
  <c r="O286" i="3" s="1"/>
  <c r="X286" i="3" s="1"/>
  <c r="M286" i="3"/>
  <c r="V286" i="3" s="1"/>
  <c r="S356" i="3"/>
  <c r="T354" i="1"/>
  <c r="N286" i="3" l="1"/>
  <c r="E287" i="3" s="1"/>
  <c r="D287" i="3"/>
  <c r="T356" i="3"/>
  <c r="P354" i="1"/>
  <c r="AD356" i="3"/>
  <c r="AC357" i="3" s="1"/>
  <c r="F287" i="3" l="1"/>
  <c r="Y287" i="3"/>
  <c r="U356" i="3"/>
  <c r="Q354" i="1"/>
  <c r="G287" i="3" l="1"/>
  <c r="P357" i="3"/>
  <c r="W356" i="3"/>
  <c r="H287" i="3" l="1"/>
  <c r="U285" i="1"/>
  <c r="Q357" i="3"/>
  <c r="R357" i="3" s="1"/>
  <c r="AB357" i="3"/>
  <c r="AA287" i="3" l="1"/>
  <c r="Z288" i="3" s="1"/>
  <c r="R285" i="1"/>
  <c r="I287" i="3"/>
  <c r="T355" i="1"/>
  <c r="S357" i="3"/>
  <c r="T357" i="3" s="1"/>
  <c r="S285" i="1" l="1"/>
  <c r="K287" i="3"/>
  <c r="Q355" i="1"/>
  <c r="U357" i="3"/>
  <c r="P355" i="1"/>
  <c r="AD357" i="3"/>
  <c r="AC358" i="3" s="1"/>
  <c r="L287" i="3" l="1"/>
  <c r="O287" i="3" s="1"/>
  <c r="X287" i="3" s="1"/>
  <c r="M287" i="3"/>
  <c r="W357" i="3"/>
  <c r="P358" i="3"/>
  <c r="V287" i="3" l="1"/>
  <c r="D288" i="3"/>
  <c r="N287" i="3"/>
  <c r="E288" i="3" s="1"/>
  <c r="AB358" i="3"/>
  <c r="Q358" i="3"/>
  <c r="R358" i="3" s="1"/>
  <c r="Y288" i="3" l="1"/>
  <c r="H288" i="3" s="1"/>
  <c r="AA288" i="3" s="1"/>
  <c r="Z289" i="3" s="1"/>
  <c r="F288" i="3"/>
  <c r="G288" i="3" s="1"/>
  <c r="U286" i="1" s="1"/>
  <c r="S358" i="3"/>
  <c r="T358" i="3" s="1"/>
  <c r="T356" i="1"/>
  <c r="U358" i="3" l="1"/>
  <c r="Q356" i="1"/>
  <c r="R286" i="1"/>
  <c r="I288" i="3"/>
  <c r="P356" i="1"/>
  <c r="AD358" i="3"/>
  <c r="AC359" i="3" s="1"/>
  <c r="W358" i="3" l="1"/>
  <c r="P359" i="3"/>
  <c r="K288" i="3"/>
  <c r="S286" i="1"/>
  <c r="AB359" i="3" l="1"/>
  <c r="Q359" i="3"/>
  <c r="R359" i="3" s="1"/>
  <c r="T357" i="1" s="1"/>
  <c r="M288" i="3"/>
  <c r="L288" i="3"/>
  <c r="O288" i="3" s="1"/>
  <c r="X288" i="3" s="1"/>
  <c r="V288" i="3" l="1"/>
  <c r="D289" i="3"/>
  <c r="N288" i="3"/>
  <c r="E289" i="3" s="1"/>
  <c r="S359" i="3"/>
  <c r="F289" i="3" l="1"/>
  <c r="G289" i="3" s="1"/>
  <c r="Y289" i="3"/>
  <c r="AD359" i="3"/>
  <c r="AC360" i="3" s="1"/>
  <c r="P357" i="1"/>
  <c r="T359" i="3"/>
  <c r="U287" i="1" l="1"/>
  <c r="U359" i="3"/>
  <c r="Q357" i="1"/>
  <c r="H289" i="3"/>
  <c r="I289" i="3" s="1"/>
  <c r="K289" i="3" l="1"/>
  <c r="S287" i="1"/>
  <c r="AA289" i="3"/>
  <c r="Z290" i="3" s="1"/>
  <c r="R287" i="1"/>
  <c r="P360" i="3"/>
  <c r="W359" i="3"/>
  <c r="AB360" i="3" l="1"/>
  <c r="Q360" i="3"/>
  <c r="R360" i="3" s="1"/>
  <c r="L289" i="3"/>
  <c r="O289" i="3" s="1"/>
  <c r="X289" i="3" s="1"/>
  <c r="M289" i="3"/>
  <c r="T358" i="1" l="1"/>
  <c r="S360" i="3"/>
  <c r="T360" i="3" s="1"/>
  <c r="N289" i="3"/>
  <c r="E290" i="3" s="1"/>
  <c r="D290" i="3"/>
  <c r="V289" i="3"/>
  <c r="U360" i="3" l="1"/>
  <c r="Q358" i="1"/>
  <c r="AD360" i="3"/>
  <c r="AC361" i="3" s="1"/>
  <c r="P358" i="1"/>
  <c r="Y290" i="3"/>
  <c r="F290" i="3"/>
  <c r="G290" i="3" l="1"/>
  <c r="W360" i="3"/>
  <c r="P361" i="3"/>
  <c r="U288" i="1" l="1"/>
  <c r="H290" i="3"/>
  <c r="I290" i="3" s="1"/>
  <c r="AB361" i="3"/>
  <c r="Q361" i="3"/>
  <c r="AA290" i="3" l="1"/>
  <c r="Z291" i="3" s="1"/>
  <c r="R288" i="1"/>
  <c r="S288" i="1"/>
  <c r="K290" i="3"/>
  <c r="R361" i="3"/>
  <c r="S361" i="3" l="1"/>
  <c r="T359" i="1"/>
  <c r="L290" i="3"/>
  <c r="O290" i="3" s="1"/>
  <c r="X290" i="3" s="1"/>
  <c r="M290" i="3"/>
  <c r="V290" i="3" s="1"/>
  <c r="T361" i="3" l="1"/>
  <c r="P359" i="1"/>
  <c r="AD361" i="3"/>
  <c r="AC362" i="3" s="1"/>
  <c r="D291" i="3"/>
  <c r="N290" i="3"/>
  <c r="E291" i="3" s="1"/>
  <c r="Q359" i="1" l="1"/>
  <c r="U361" i="3"/>
  <c r="F291" i="3"/>
  <c r="Y291" i="3"/>
  <c r="G291" i="3" l="1"/>
  <c r="P362" i="3"/>
  <c r="W361" i="3"/>
  <c r="U289" i="1" l="1"/>
  <c r="H291" i="3"/>
  <c r="Q362" i="3"/>
  <c r="R362" i="3" s="1"/>
  <c r="AB362" i="3"/>
  <c r="I291" i="3" l="1"/>
  <c r="AA291" i="3"/>
  <c r="Z292" i="3" s="1"/>
  <c r="R289" i="1"/>
  <c r="T360" i="1"/>
  <c r="S362" i="3"/>
  <c r="T362" i="3" s="1"/>
  <c r="S289" i="1" l="1"/>
  <c r="K291" i="3"/>
  <c r="U362" i="3"/>
  <c r="Q360" i="1"/>
  <c r="AD362" i="3"/>
  <c r="AC363" i="3" s="1"/>
  <c r="P360" i="1"/>
  <c r="M291" i="3" l="1"/>
  <c r="L291" i="3"/>
  <c r="O291" i="3" s="1"/>
  <c r="X291" i="3" s="1"/>
  <c r="W362" i="3"/>
  <c r="P363" i="3"/>
  <c r="N291" i="3" l="1"/>
  <c r="E292" i="3" s="1"/>
  <c r="D292" i="3"/>
  <c r="V291" i="3"/>
  <c r="AB363" i="3"/>
  <c r="Q363" i="3"/>
  <c r="Y292" i="3" l="1"/>
  <c r="F292" i="3"/>
  <c r="G292" i="3" s="1"/>
  <c r="R363" i="3"/>
  <c r="H292" i="3" l="1"/>
  <c r="U290" i="1"/>
  <c r="I292" i="3"/>
  <c r="K292" i="3" s="1"/>
  <c r="S290" i="1"/>
  <c r="S363" i="3"/>
  <c r="T363" i="3" s="1"/>
  <c r="T361" i="1"/>
  <c r="R290" i="1" l="1"/>
  <c r="AA292" i="3"/>
  <c r="L292" i="3"/>
  <c r="O292" i="3" s="1"/>
  <c r="X292" i="3" s="1"/>
  <c r="M292" i="3"/>
  <c r="P361" i="1"/>
  <c r="AD363" i="3"/>
  <c r="AC364" i="3" s="1"/>
  <c r="Q361" i="1"/>
  <c r="U363" i="3"/>
  <c r="Z293" i="3" l="1"/>
  <c r="N292" i="3"/>
  <c r="E293" i="3" s="1"/>
  <c r="V292" i="3"/>
  <c r="D293" i="3"/>
  <c r="F293" i="3" s="1"/>
  <c r="Y293" i="3"/>
  <c r="W363" i="3"/>
  <c r="P364" i="3"/>
  <c r="G293" i="3" l="1"/>
  <c r="AB364" i="3"/>
  <c r="Q364" i="3"/>
  <c r="R364" i="3" s="1"/>
  <c r="H293" i="3" l="1"/>
  <c r="U291" i="1"/>
  <c r="S364" i="3"/>
  <c r="T364" i="3" s="1"/>
  <c r="T362" i="1"/>
  <c r="R291" i="1" l="1"/>
  <c r="I293" i="3"/>
  <c r="AA293" i="3"/>
  <c r="Z294" i="3" s="1"/>
  <c r="P362" i="1"/>
  <c r="AD364" i="3"/>
  <c r="AC365" i="3" s="1"/>
  <c r="S291" i="1"/>
  <c r="K293" i="3"/>
  <c r="Q362" i="1"/>
  <c r="U364" i="3"/>
  <c r="P365" i="3" l="1"/>
  <c r="AB365" i="3" s="1"/>
  <c r="R365" i="3" s="1"/>
  <c r="W364" i="3"/>
  <c r="L293" i="3"/>
  <c r="O293" i="3" s="1"/>
  <c r="X293" i="3" s="1"/>
  <c r="M293" i="3"/>
  <c r="Q365" i="3"/>
  <c r="D294" i="3" l="1"/>
  <c r="M30" i="1"/>
  <c r="N293" i="3"/>
  <c r="E294" i="3" s="1"/>
  <c r="V293" i="3"/>
  <c r="S365" i="3"/>
  <c r="P363" i="1" s="1"/>
  <c r="T363" i="1"/>
  <c r="T365" i="3" l="1"/>
  <c r="AD365" i="3"/>
  <c r="AC366" i="3" s="1"/>
  <c r="Y294" i="3"/>
  <c r="F294" i="3"/>
  <c r="G294" i="3" s="1"/>
  <c r="Q363" i="1" l="1"/>
  <c r="U365" i="3"/>
  <c r="U292" i="1"/>
  <c r="H294" i="3"/>
  <c r="I294" i="3" s="1"/>
  <c r="W365" i="3" l="1"/>
  <c r="L36" i="1"/>
  <c r="P366" i="3"/>
  <c r="K294" i="3"/>
  <c r="S292" i="1"/>
  <c r="AA294" i="3"/>
  <c r="Z295" i="3" s="1"/>
  <c r="R292" i="1"/>
  <c r="L294" i="3" l="1"/>
  <c r="O294" i="3" s="1"/>
  <c r="X294" i="3" s="1"/>
  <c r="M294" i="3"/>
  <c r="V294" i="3" s="1"/>
  <c r="Q366" i="3"/>
  <c r="R366" i="3" s="1"/>
  <c r="T364" i="1" s="1"/>
  <c r="AB366" i="3"/>
  <c r="N294" i="3"/>
  <c r="E295" i="3" s="1"/>
  <c r="D295" i="3"/>
  <c r="S366" i="3" l="1"/>
  <c r="Y295" i="3"/>
  <c r="F295" i="3"/>
  <c r="G295" i="3" s="1"/>
  <c r="AD366" i="3" l="1"/>
  <c r="AC367" i="3" s="1"/>
  <c r="P364" i="1"/>
  <c r="T366" i="3"/>
  <c r="H295" i="3"/>
  <c r="I295" i="3" s="1"/>
  <c r="U293" i="1"/>
  <c r="U366" i="3" l="1"/>
  <c r="Q364" i="1"/>
  <c r="K295" i="3"/>
  <c r="S293" i="1"/>
  <c r="R293" i="1"/>
  <c r="AA295" i="3"/>
  <c r="Z296" i="3" s="1"/>
  <c r="P367" i="3" l="1"/>
  <c r="W366" i="3"/>
  <c r="L295" i="3"/>
  <c r="O295" i="3" s="1"/>
  <c r="X295" i="3" s="1"/>
  <c r="M295" i="3"/>
  <c r="V295" i="3" s="1"/>
  <c r="Q367" i="3" l="1"/>
  <c r="R367" i="3" s="1"/>
  <c r="AB367" i="3"/>
  <c r="N295" i="3"/>
  <c r="E296" i="3" s="1"/>
  <c r="D296" i="3"/>
  <c r="T365" i="1" l="1"/>
  <c r="S367" i="3"/>
  <c r="Y296" i="3"/>
  <c r="F296" i="3"/>
  <c r="G296" i="3" s="1"/>
  <c r="H296" i="3" s="1"/>
  <c r="P365" i="1" l="1"/>
  <c r="AD367" i="3"/>
  <c r="AC368" i="3" s="1"/>
  <c r="T367" i="3"/>
  <c r="U294" i="1"/>
  <c r="I296" i="3"/>
  <c r="R294" i="1"/>
  <c r="AA296" i="3"/>
  <c r="Z297" i="3" s="1"/>
  <c r="U367" i="3" l="1"/>
  <c r="Q365" i="1"/>
  <c r="K296" i="3"/>
  <c r="S294" i="1"/>
  <c r="P368" i="3" l="1"/>
  <c r="W367" i="3"/>
  <c r="AB368" i="3"/>
  <c r="Q368" i="3"/>
  <c r="R368" i="3" s="1"/>
  <c r="L296" i="3"/>
  <c r="O296" i="3" s="1"/>
  <c r="X296" i="3" s="1"/>
  <c r="M296" i="3"/>
  <c r="S368" i="3" l="1"/>
  <c r="T368" i="3" s="1"/>
  <c r="T366" i="1"/>
  <c r="N296" i="3"/>
  <c r="E297" i="3" s="1"/>
  <c r="D297" i="3"/>
  <c r="V296" i="3"/>
  <c r="P366" i="1" l="1"/>
  <c r="AD368" i="3"/>
  <c r="AC369" i="3" s="1"/>
  <c r="Q366" i="1"/>
  <c r="U368" i="3"/>
  <c r="F297" i="3"/>
  <c r="Y297" i="3"/>
  <c r="P369" i="3" l="1"/>
  <c r="W368" i="3"/>
  <c r="G297" i="3"/>
  <c r="AB369" i="3" l="1"/>
  <c r="Q369" i="3"/>
  <c r="H297" i="3"/>
  <c r="I297" i="3" s="1"/>
  <c r="U295" i="1"/>
  <c r="AA297" i="3" l="1"/>
  <c r="Z298" i="3" s="1"/>
  <c r="R295" i="1"/>
  <c r="R369" i="3"/>
  <c r="K297" i="3"/>
  <c r="S295" i="1"/>
  <c r="S369" i="3" l="1"/>
  <c r="T367" i="1"/>
  <c r="M297" i="3"/>
  <c r="L297" i="3"/>
  <c r="O297" i="3" s="1"/>
  <c r="X297" i="3" s="1"/>
  <c r="N297" i="3" l="1"/>
  <c r="E298" i="3" s="1"/>
  <c r="V297" i="3"/>
  <c r="D298" i="3"/>
  <c r="P367" i="1"/>
  <c r="AD369" i="3"/>
  <c r="AC370" i="3" s="1"/>
  <c r="T369" i="3"/>
  <c r="Y298" i="3"/>
  <c r="F298" i="3"/>
  <c r="U369" i="3" l="1"/>
  <c r="Q367" i="1"/>
  <c r="G298" i="3"/>
  <c r="P370" i="3" l="1"/>
  <c r="W369" i="3"/>
  <c r="H298" i="3"/>
  <c r="U296" i="1"/>
  <c r="AA298" i="3" l="1"/>
  <c r="Z299" i="3" s="1"/>
  <c r="R296" i="1"/>
  <c r="I298" i="3"/>
  <c r="Q370" i="3"/>
  <c r="AB370" i="3"/>
  <c r="S296" i="1"/>
  <c r="K298" i="3"/>
  <c r="R370" i="3" l="1"/>
  <c r="T368" i="1" s="1"/>
  <c r="S370" i="3"/>
  <c r="T370" i="3" s="1"/>
  <c r="L298" i="3"/>
  <c r="O298" i="3" s="1"/>
  <c r="X298" i="3" s="1"/>
  <c r="M298" i="3"/>
  <c r="V298" i="3" s="1"/>
  <c r="AD370" i="3" l="1"/>
  <c r="AC371" i="3" s="1"/>
  <c r="P368" i="1"/>
  <c r="U370" i="3"/>
  <c r="Q368" i="1"/>
  <c r="N298" i="3"/>
  <c r="E299" i="3" s="1"/>
  <c r="D299" i="3"/>
  <c r="W370" i="3" l="1"/>
  <c r="P371" i="3"/>
  <c r="Y299" i="3"/>
  <c r="F299" i="3"/>
  <c r="G299" i="3" s="1"/>
  <c r="AB371" i="3" l="1"/>
  <c r="Q371" i="3"/>
  <c r="H299" i="3"/>
  <c r="U297" i="1"/>
  <c r="R371" i="3" l="1"/>
  <c r="S371" i="3" s="1"/>
  <c r="R297" i="1"/>
  <c r="AA299" i="3"/>
  <c r="Z300" i="3" s="1"/>
  <c r="I299" i="3"/>
  <c r="T371" i="3"/>
  <c r="T369" i="1"/>
  <c r="P369" i="1"/>
  <c r="AD371" i="3"/>
  <c r="AC372" i="3" s="1"/>
  <c r="S297" i="1" l="1"/>
  <c r="K299" i="3"/>
  <c r="M299" i="3" s="1"/>
  <c r="U371" i="3"/>
  <c r="Q369" i="1"/>
  <c r="D300" i="3" l="1"/>
  <c r="N299" i="3"/>
  <c r="E300" i="3" s="1"/>
  <c r="L299" i="3"/>
  <c r="O299" i="3" s="1"/>
  <c r="X299" i="3" s="1"/>
  <c r="V299" i="3"/>
  <c r="P372" i="3"/>
  <c r="W371" i="3"/>
  <c r="AB372" i="3" l="1"/>
  <c r="Q372" i="3"/>
  <c r="R372" i="3" s="1"/>
  <c r="F300" i="3"/>
  <c r="Y300" i="3"/>
  <c r="G300" i="3" l="1"/>
  <c r="T370" i="1"/>
  <c r="S372" i="3"/>
  <c r="U298" i="1" l="1"/>
  <c r="H300" i="3"/>
  <c r="T372" i="3"/>
  <c r="P370" i="1"/>
  <c r="AD372" i="3"/>
  <c r="AC373" i="3" s="1"/>
  <c r="I300" i="3" l="1"/>
  <c r="AA300" i="3"/>
  <c r="Z301" i="3" s="1"/>
  <c r="R298" i="1"/>
  <c r="U372" i="3"/>
  <c r="Q370" i="1"/>
  <c r="W372" i="3" l="1"/>
  <c r="P373" i="3"/>
  <c r="K300" i="3"/>
  <c r="S298" i="1"/>
  <c r="AB373" i="3"/>
  <c r="Q373" i="3"/>
  <c r="R373" i="3" s="1"/>
  <c r="M300" i="3" l="1"/>
  <c r="L300" i="3"/>
  <c r="O300" i="3" s="1"/>
  <c r="X300" i="3" s="1"/>
  <c r="T371" i="1"/>
  <c r="S373" i="3"/>
  <c r="P371" i="1" s="1"/>
  <c r="V300" i="3" l="1"/>
  <c r="D301" i="3"/>
  <c r="N300" i="3"/>
  <c r="E301" i="3" s="1"/>
  <c r="AD373" i="3"/>
  <c r="AC374" i="3" s="1"/>
  <c r="T373" i="3"/>
  <c r="Q371" i="1" l="1"/>
  <c r="U373" i="3"/>
  <c r="P374" i="3" s="1"/>
  <c r="Y301" i="3"/>
  <c r="F301" i="3"/>
  <c r="W373" i="3"/>
  <c r="G301" i="3" l="1"/>
  <c r="Q374" i="3"/>
  <c r="R374" i="3" s="1"/>
  <c r="AB374" i="3"/>
  <c r="U299" i="1" l="1"/>
  <c r="H301" i="3"/>
  <c r="S374" i="3"/>
  <c r="T374" i="3" s="1"/>
  <c r="T372" i="1"/>
  <c r="I301" i="3" l="1"/>
  <c r="AA301" i="3"/>
  <c r="Z302" i="3" s="1"/>
  <c r="R299" i="1"/>
  <c r="U374" i="3"/>
  <c r="Q372" i="1"/>
  <c r="AD374" i="3"/>
  <c r="AC375" i="3" s="1"/>
  <c r="P372" i="1"/>
  <c r="K301" i="3" l="1"/>
  <c r="S299" i="1"/>
  <c r="P375" i="3"/>
  <c r="W374" i="3"/>
  <c r="Q375" i="3"/>
  <c r="AB375" i="3"/>
  <c r="L301" i="3" l="1"/>
  <c r="O301" i="3" s="1"/>
  <c r="X301" i="3" s="1"/>
  <c r="M301" i="3"/>
  <c r="R375" i="3"/>
  <c r="D302" i="3" l="1"/>
  <c r="N301" i="3"/>
  <c r="E302" i="3" s="1"/>
  <c r="V301" i="3"/>
  <c r="T373" i="1"/>
  <c r="S375" i="3"/>
  <c r="T375" i="3" s="1"/>
  <c r="Y302" i="3" l="1"/>
  <c r="F302" i="3"/>
  <c r="G302" i="3" s="1"/>
  <c r="U300" i="1" s="1"/>
  <c r="AD375" i="3"/>
  <c r="AC376" i="3" s="1"/>
  <c r="P373" i="1"/>
  <c r="Q373" i="1"/>
  <c r="U375" i="3"/>
  <c r="H302" i="3" l="1"/>
  <c r="AA302" i="3" s="1"/>
  <c r="Z303" i="3" s="1"/>
  <c r="P376" i="3"/>
  <c r="W375" i="3"/>
  <c r="R300" i="1" l="1"/>
  <c r="I302" i="3"/>
  <c r="Q376" i="3"/>
  <c r="AB376" i="3"/>
  <c r="K302" i="3" l="1"/>
  <c r="S300" i="1"/>
  <c r="R376" i="3"/>
  <c r="L302" i="3" l="1"/>
  <c r="O302" i="3" s="1"/>
  <c r="X302" i="3" s="1"/>
  <c r="M302" i="3"/>
  <c r="V302" i="3"/>
  <c r="T374" i="1"/>
  <c r="S376" i="3"/>
  <c r="P374" i="1" s="1"/>
  <c r="N302" i="3" l="1"/>
  <c r="E303" i="3" s="1"/>
  <c r="D303" i="3"/>
  <c r="AD376" i="3"/>
  <c r="AC377" i="3" s="1"/>
  <c r="T376" i="3"/>
  <c r="Y303" i="3" l="1"/>
  <c r="F303" i="3"/>
  <c r="G303" i="3" s="1"/>
  <c r="Q374" i="1"/>
  <c r="U376" i="3"/>
  <c r="P377" i="3" l="1"/>
  <c r="W376" i="3"/>
  <c r="H303" i="3"/>
  <c r="U301" i="1"/>
  <c r="I303" i="3"/>
  <c r="Q377" i="3"/>
  <c r="AB377" i="3"/>
  <c r="R377" i="3" l="1"/>
  <c r="R301" i="1"/>
  <c r="AA303" i="3"/>
  <c r="Z304" i="3" s="1"/>
  <c r="K303" i="3"/>
  <c r="S301" i="1"/>
  <c r="T375" i="1"/>
  <c r="S377" i="3"/>
  <c r="P375" i="1" s="1"/>
  <c r="L303" i="3" l="1"/>
  <c r="O303" i="3" s="1"/>
  <c r="X303" i="3" s="1"/>
  <c r="M303" i="3"/>
  <c r="V303" i="3" s="1"/>
  <c r="T377" i="3"/>
  <c r="AD377" i="3"/>
  <c r="AC378" i="3" s="1"/>
  <c r="D304" i="3" l="1"/>
  <c r="N303" i="3"/>
  <c r="E304" i="3" s="1"/>
  <c r="Q375" i="1"/>
  <c r="U377" i="3"/>
  <c r="F304" i="3" l="1"/>
  <c r="Y304" i="3"/>
  <c r="G304" i="3" s="1"/>
  <c r="W377" i="3"/>
  <c r="P378" i="3"/>
  <c r="L37" i="1"/>
  <c r="U302" i="1" l="1"/>
  <c r="H304" i="3"/>
  <c r="I304" i="3" s="1"/>
  <c r="Q378" i="3"/>
  <c r="AB378" i="3"/>
  <c r="K304" i="3" l="1"/>
  <c r="S302" i="1"/>
  <c r="R378" i="3"/>
  <c r="R302" i="1"/>
  <c r="AA304" i="3"/>
  <c r="Z305" i="3" s="1"/>
  <c r="T376" i="1" l="1"/>
  <c r="S378" i="3"/>
  <c r="L304" i="3"/>
  <c r="O304" i="3" s="1"/>
  <c r="X304" i="3" s="1"/>
  <c r="M304" i="3"/>
  <c r="T378" i="3" l="1"/>
  <c r="AD378" i="3"/>
  <c r="AC379" i="3" s="1"/>
  <c r="P376" i="1"/>
  <c r="D305" i="3"/>
  <c r="N304" i="3"/>
  <c r="E305" i="3" s="1"/>
  <c r="V304" i="3"/>
  <c r="U378" i="3" l="1"/>
  <c r="Q376" i="1"/>
  <c r="F305" i="3"/>
  <c r="G305" i="3" s="1"/>
  <c r="Y305" i="3"/>
  <c r="P379" i="3" l="1"/>
  <c r="AB379" i="3" s="1"/>
  <c r="W378" i="3"/>
  <c r="U303" i="1"/>
  <c r="H305" i="3"/>
  <c r="Q379" i="3"/>
  <c r="R303" i="1" l="1"/>
  <c r="I305" i="3"/>
  <c r="AA305" i="3"/>
  <c r="Z306" i="3" s="1"/>
  <c r="K305" i="3"/>
  <c r="S303" i="1"/>
  <c r="R379" i="3"/>
  <c r="M305" i="3" l="1"/>
  <c r="L305" i="3"/>
  <c r="O305" i="3" s="1"/>
  <c r="X305" i="3" s="1"/>
  <c r="S379" i="3"/>
  <c r="P377" i="1" s="1"/>
  <c r="T377" i="1"/>
  <c r="V305" i="3" l="1"/>
  <c r="D306" i="3"/>
  <c r="M31" i="1"/>
  <c r="N305" i="3"/>
  <c r="E306" i="3" s="1"/>
  <c r="T379" i="3"/>
  <c r="AD379" i="3"/>
  <c r="AC380" i="3" s="1"/>
  <c r="F306" i="3" l="1"/>
  <c r="G306" i="3" s="1"/>
  <c r="U304" i="1" s="1"/>
  <c r="Y306" i="3"/>
  <c r="Q377" i="1"/>
  <c r="U379" i="3"/>
  <c r="P380" i="3"/>
  <c r="W379" i="3"/>
  <c r="H306" i="3" l="1"/>
  <c r="AA306" i="3" s="1"/>
  <c r="Z307" i="3" s="1"/>
  <c r="AB380" i="3"/>
  <c r="Q380" i="3"/>
  <c r="R304" i="1" l="1"/>
  <c r="I306" i="3"/>
  <c r="R380" i="3"/>
  <c r="T378" i="1" l="1"/>
  <c r="S380" i="3"/>
  <c r="K306" i="3"/>
  <c r="S304" i="1"/>
  <c r="P378" i="1" l="1"/>
  <c r="AD380" i="3"/>
  <c r="AC381" i="3" s="1"/>
  <c r="T380" i="3"/>
  <c r="U380" i="3" s="1"/>
  <c r="L306" i="3"/>
  <c r="O306" i="3" s="1"/>
  <c r="X306" i="3" s="1"/>
  <c r="M306" i="3"/>
  <c r="V306" i="3" s="1"/>
  <c r="Q378" i="1"/>
  <c r="N306" i="3" l="1"/>
  <c r="E307" i="3" s="1"/>
  <c r="D307" i="3"/>
  <c r="W380" i="3"/>
  <c r="P381" i="3"/>
  <c r="Y307" i="3" l="1"/>
  <c r="F307" i="3"/>
  <c r="AB381" i="3"/>
  <c r="Q381" i="3"/>
  <c r="R381" i="3" s="1"/>
  <c r="G307" i="3" l="1"/>
  <c r="S381" i="3"/>
  <c r="T381" i="3" s="1"/>
  <c r="T379" i="1"/>
  <c r="H307" i="3" l="1"/>
  <c r="U305" i="1"/>
  <c r="Q379" i="1"/>
  <c r="U381" i="3"/>
  <c r="AD381" i="3"/>
  <c r="AC382" i="3" s="1"/>
  <c r="P379" i="1"/>
  <c r="R305" i="1" l="1"/>
  <c r="AA307" i="3"/>
  <c r="Z308" i="3" s="1"/>
  <c r="I307" i="3"/>
  <c r="S305" i="1"/>
  <c r="K307" i="3"/>
  <c r="W381" i="3"/>
  <c r="P382" i="3"/>
  <c r="L307" i="3" l="1"/>
  <c r="O307" i="3" s="1"/>
  <c r="X307" i="3" s="1"/>
  <c r="M307" i="3"/>
  <c r="AB382" i="3"/>
  <c r="Q382" i="3"/>
  <c r="R382" i="3" s="1"/>
  <c r="N307" i="3" l="1"/>
  <c r="E308" i="3" s="1"/>
  <c r="D308" i="3"/>
  <c r="V307" i="3"/>
  <c r="T380" i="1"/>
  <c r="S382" i="3"/>
  <c r="Y308" i="3" l="1"/>
  <c r="F308" i="3"/>
  <c r="G308" i="3" s="1"/>
  <c r="AD382" i="3"/>
  <c r="AC383" i="3" s="1"/>
  <c r="P380" i="1"/>
  <c r="T382" i="3"/>
  <c r="H308" i="3" l="1"/>
  <c r="AA308" i="3" s="1"/>
  <c r="Z309" i="3" s="1"/>
  <c r="U306" i="1"/>
  <c r="U382" i="3"/>
  <c r="P383" i="3" s="1"/>
  <c r="Q380" i="1"/>
  <c r="W382" i="3"/>
  <c r="R306" i="1" l="1"/>
  <c r="I308" i="3"/>
  <c r="Q383" i="3"/>
  <c r="R383" i="3" s="1"/>
  <c r="AB383" i="3"/>
  <c r="S306" i="1" l="1"/>
  <c r="K308" i="3"/>
  <c r="T381" i="1"/>
  <c r="S383" i="3"/>
  <c r="L308" i="3" l="1"/>
  <c r="O308" i="3" s="1"/>
  <c r="X308" i="3" s="1"/>
  <c r="M308" i="3"/>
  <c r="N308" i="3"/>
  <c r="E309" i="3" s="1"/>
  <c r="P381" i="1"/>
  <c r="T383" i="3"/>
  <c r="AD383" i="3"/>
  <c r="AC384" i="3" s="1"/>
  <c r="V308" i="3" l="1"/>
  <c r="D309" i="3"/>
  <c r="Y309" i="3"/>
  <c r="F309" i="3"/>
  <c r="G309" i="3" s="1"/>
  <c r="U383" i="3"/>
  <c r="Q381" i="1"/>
  <c r="U307" i="1" l="1"/>
  <c r="H309" i="3"/>
  <c r="I309" i="3" s="1"/>
  <c r="P384" i="3"/>
  <c r="W383" i="3"/>
  <c r="K309" i="3" l="1"/>
  <c r="S307" i="1"/>
  <c r="R307" i="1"/>
  <c r="AA309" i="3"/>
  <c r="Z310" i="3" s="1"/>
  <c r="Q384" i="3"/>
  <c r="AB384" i="3"/>
  <c r="L309" i="3" l="1"/>
  <c r="O309" i="3" s="1"/>
  <c r="X309" i="3" s="1"/>
  <c r="M309" i="3"/>
  <c r="R384" i="3"/>
  <c r="V309" i="3" l="1"/>
  <c r="D310" i="3"/>
  <c r="N309" i="3"/>
  <c r="E310" i="3" s="1"/>
  <c r="T382" i="1"/>
  <c r="S384" i="3"/>
  <c r="Y310" i="3" l="1"/>
  <c r="F310" i="3"/>
  <c r="T384" i="3"/>
  <c r="AD384" i="3"/>
  <c r="AC385" i="3" s="1"/>
  <c r="P382" i="1"/>
  <c r="G310" i="3" l="1"/>
  <c r="Q382" i="1"/>
  <c r="U384" i="3"/>
  <c r="U308" i="1" l="1"/>
  <c r="H310" i="3"/>
  <c r="W384" i="3"/>
  <c r="P385" i="3"/>
  <c r="I310" i="3" l="1"/>
  <c r="AA310" i="3"/>
  <c r="Z311" i="3" s="1"/>
  <c r="R308" i="1"/>
  <c r="AB385" i="3"/>
  <c r="Q385" i="3"/>
  <c r="K310" i="3" l="1"/>
  <c r="S308" i="1"/>
  <c r="R385" i="3"/>
  <c r="M310" i="3" l="1"/>
  <c r="L310" i="3"/>
  <c r="O310" i="3" s="1"/>
  <c r="X310" i="3" s="1"/>
  <c r="T383" i="1"/>
  <c r="S385" i="3"/>
  <c r="V310" i="3" l="1"/>
  <c r="N310" i="3"/>
  <c r="E311" i="3" s="1"/>
  <c r="D311" i="3"/>
  <c r="T385" i="3"/>
  <c r="P383" i="1"/>
  <c r="AD385" i="3"/>
  <c r="AC386" i="3" s="1"/>
  <c r="F311" i="3" l="1"/>
  <c r="Y311" i="3"/>
  <c r="G311" i="3" s="1"/>
  <c r="U309" i="1" s="1"/>
  <c r="H311" i="3"/>
  <c r="Q383" i="1"/>
  <c r="U385" i="3"/>
  <c r="R309" i="1" l="1"/>
  <c r="AA311" i="3"/>
  <c r="Z312" i="3" s="1"/>
  <c r="I311" i="3"/>
  <c r="P386" i="3"/>
  <c r="W385" i="3"/>
  <c r="K311" i="3" l="1"/>
  <c r="S309" i="1"/>
  <c r="Q386" i="3"/>
  <c r="AB386" i="3"/>
  <c r="R386" i="3" l="1"/>
  <c r="M311" i="3"/>
  <c r="L311" i="3"/>
  <c r="O311" i="3" s="1"/>
  <c r="X311" i="3" s="1"/>
  <c r="T384" i="1"/>
  <c r="S386" i="3"/>
  <c r="T386" i="3" s="1"/>
  <c r="V311" i="3" l="1"/>
  <c r="N311" i="3"/>
  <c r="E312" i="3" s="1"/>
  <c r="D312" i="3"/>
  <c r="Q384" i="1"/>
  <c r="U386" i="3"/>
  <c r="AD386" i="3"/>
  <c r="AC387" i="3" s="1"/>
  <c r="P384" i="1"/>
  <c r="F312" i="3" l="1"/>
  <c r="Y312" i="3"/>
  <c r="P387" i="3"/>
  <c r="W386" i="3"/>
  <c r="Q387" i="3"/>
  <c r="AB387" i="3"/>
  <c r="G312" i="3" l="1"/>
  <c r="R387" i="3"/>
  <c r="T385" i="1" l="1"/>
  <c r="S387" i="3"/>
  <c r="U310" i="1"/>
  <c r="H312" i="3"/>
  <c r="P385" i="1"/>
  <c r="AD387" i="3"/>
  <c r="AC388" i="3" s="1"/>
  <c r="T387" i="3"/>
  <c r="R310" i="1" l="1"/>
  <c r="AA312" i="3"/>
  <c r="Z313" i="3" s="1"/>
  <c r="I312" i="3"/>
  <c r="Q385" i="1"/>
  <c r="U387" i="3"/>
  <c r="P388" i="3"/>
  <c r="W387" i="3"/>
  <c r="K312" i="3" l="1"/>
  <c r="M312" i="3" s="1"/>
  <c r="S310" i="1"/>
  <c r="AB388" i="3"/>
  <c r="Q388" i="3"/>
  <c r="D313" i="3" l="1"/>
  <c r="N312" i="3"/>
  <c r="E313" i="3" s="1"/>
  <c r="V312" i="3"/>
  <c r="L312" i="3"/>
  <c r="O312" i="3" s="1"/>
  <c r="X312" i="3" s="1"/>
  <c r="R388" i="3"/>
  <c r="Y313" i="3" l="1"/>
  <c r="F313" i="3"/>
  <c r="T386" i="1"/>
  <c r="S388" i="3"/>
  <c r="G313" i="3" l="1"/>
  <c r="T388" i="3"/>
  <c r="P386" i="1"/>
  <c r="AD388" i="3"/>
  <c r="AC389" i="3" s="1"/>
  <c r="H313" i="3" l="1"/>
  <c r="U311" i="1"/>
  <c r="Q386" i="1"/>
  <c r="U388" i="3"/>
  <c r="AA313" i="3" l="1"/>
  <c r="Z314" i="3" s="1"/>
  <c r="R311" i="1"/>
  <c r="I313" i="3"/>
  <c r="P389" i="3"/>
  <c r="W388" i="3"/>
  <c r="K313" i="3" l="1"/>
  <c r="S311" i="1"/>
  <c r="Q389" i="3"/>
  <c r="AB389" i="3"/>
  <c r="L313" i="3" l="1"/>
  <c r="O313" i="3" s="1"/>
  <c r="X313" i="3" s="1"/>
  <c r="M313" i="3"/>
  <c r="R389" i="3"/>
  <c r="V313" i="3" l="1"/>
  <c r="N313" i="3"/>
  <c r="E314" i="3" s="1"/>
  <c r="D314" i="3"/>
  <c r="T387" i="1"/>
  <c r="S389" i="3"/>
  <c r="Y314" i="3" l="1"/>
  <c r="F314" i="3"/>
  <c r="G314" i="3" s="1"/>
  <c r="AD389" i="3"/>
  <c r="AC390" i="3" s="1"/>
  <c r="T389" i="3"/>
  <c r="Q387" i="1" s="1"/>
  <c r="P387" i="1"/>
  <c r="U389" i="3"/>
  <c r="W389" i="3" s="1"/>
  <c r="U312" i="1" l="1"/>
  <c r="H314" i="3"/>
  <c r="I314" i="3" s="1"/>
  <c r="P390" i="3"/>
  <c r="L38" i="1"/>
  <c r="K314" i="3" l="1"/>
  <c r="S312" i="1"/>
  <c r="AA314" i="3"/>
  <c r="Z315" i="3" s="1"/>
  <c r="R312" i="1"/>
  <c r="Q390" i="3"/>
  <c r="AB390" i="3"/>
  <c r="R390" i="3" l="1"/>
  <c r="T388" i="1" s="1"/>
  <c r="M314" i="3"/>
  <c r="L314" i="3"/>
  <c r="O314" i="3" s="1"/>
  <c r="X314" i="3" s="1"/>
  <c r="S390" i="3"/>
  <c r="N314" i="3" l="1"/>
  <c r="E315" i="3" s="1"/>
  <c r="D315" i="3"/>
  <c r="V314" i="3"/>
  <c r="P388" i="1"/>
  <c r="AD390" i="3"/>
  <c r="AC391" i="3" s="1"/>
  <c r="T390" i="3"/>
  <c r="Y315" i="3" l="1"/>
  <c r="F315" i="3"/>
  <c r="G315" i="3" s="1"/>
  <c r="U313" i="1" s="1"/>
  <c r="Q388" i="1"/>
  <c r="U390" i="3"/>
  <c r="H315" i="3" l="1"/>
  <c r="P391" i="3"/>
  <c r="W390" i="3"/>
  <c r="AA315" i="3" l="1"/>
  <c r="Z316" i="3" s="1"/>
  <c r="R313" i="1"/>
  <c r="I315" i="3"/>
  <c r="Q391" i="3"/>
  <c r="AB391" i="3"/>
  <c r="K315" i="3" l="1"/>
  <c r="M315" i="3" s="1"/>
  <c r="S313" i="1"/>
  <c r="R391" i="3"/>
  <c r="D316" i="3" l="1"/>
  <c r="N315" i="3"/>
  <c r="E316" i="3" s="1"/>
  <c r="V315" i="3"/>
  <c r="L315" i="3"/>
  <c r="O315" i="3" s="1"/>
  <c r="X315" i="3" s="1"/>
  <c r="S391" i="3"/>
  <c r="T389" i="1"/>
  <c r="F316" i="3" l="1"/>
  <c r="G316" i="3" s="1"/>
  <c r="Y316" i="3"/>
  <c r="AD391" i="3"/>
  <c r="AC392" i="3" s="1"/>
  <c r="P389" i="1"/>
  <c r="T391" i="3"/>
  <c r="H316" i="3" l="1"/>
  <c r="I316" i="3" s="1"/>
  <c r="U314" i="1"/>
  <c r="Q389" i="1"/>
  <c r="U391" i="3"/>
  <c r="S314" i="1" l="1"/>
  <c r="K316" i="3"/>
  <c r="AA316" i="3"/>
  <c r="Z317" i="3" s="1"/>
  <c r="R314" i="1"/>
  <c r="P392" i="3"/>
  <c r="W391" i="3"/>
  <c r="M316" i="3" l="1"/>
  <c r="L316" i="3"/>
  <c r="O316" i="3" s="1"/>
  <c r="X316" i="3" s="1"/>
  <c r="V316" i="3"/>
  <c r="Q392" i="3"/>
  <c r="R392" i="3" s="1"/>
  <c r="S392" i="3" s="1"/>
  <c r="AB392" i="3"/>
  <c r="D317" i="3" l="1"/>
  <c r="F317" i="3" s="1"/>
  <c r="N316" i="3"/>
  <c r="E317" i="3" s="1"/>
  <c r="Y317" i="3"/>
  <c r="T392" i="3"/>
  <c r="T390" i="1"/>
  <c r="AD392" i="3"/>
  <c r="AC393" i="3" s="1"/>
  <c r="P390" i="1"/>
  <c r="G317" i="3" l="1"/>
  <c r="U392" i="3"/>
  <c r="Q390" i="1"/>
  <c r="U315" i="1" l="1"/>
  <c r="H317" i="3"/>
  <c r="I317" i="3" s="1"/>
  <c r="P393" i="3"/>
  <c r="W392" i="3"/>
  <c r="S315" i="1" l="1"/>
  <c r="K317" i="3"/>
  <c r="R315" i="1"/>
  <c r="AA317" i="3"/>
  <c r="Z318" i="3" s="1"/>
  <c r="AB393" i="3"/>
  <c r="Q393" i="3"/>
  <c r="R393" i="3" s="1"/>
  <c r="M317" i="3" l="1"/>
  <c r="L317" i="3"/>
  <c r="O317" i="3" s="1"/>
  <c r="X317" i="3" s="1"/>
  <c r="T391" i="1"/>
  <c r="S393" i="3"/>
  <c r="T393" i="3" s="1"/>
  <c r="M32" i="1" l="1"/>
  <c r="D318" i="3"/>
  <c r="N317" i="3"/>
  <c r="E318" i="3" s="1"/>
  <c r="V317" i="3"/>
  <c r="U393" i="3"/>
  <c r="Q391" i="1"/>
  <c r="AD393" i="3"/>
  <c r="AC394" i="3" s="1"/>
  <c r="P391" i="1"/>
  <c r="F318" i="3" l="1"/>
  <c r="G318" i="3" s="1"/>
  <c r="Y318" i="3"/>
  <c r="W393" i="3"/>
  <c r="P394" i="3"/>
  <c r="H318" i="3" l="1"/>
  <c r="I318" i="3" s="1"/>
  <c r="U316" i="1"/>
  <c r="Q394" i="3"/>
  <c r="AB394" i="3"/>
  <c r="AA318" i="3" l="1"/>
  <c r="Z319" i="3" s="1"/>
  <c r="R316" i="1"/>
  <c r="K318" i="3"/>
  <c r="S316" i="1"/>
  <c r="R394" i="3"/>
  <c r="L318" i="3" l="1"/>
  <c r="O318" i="3" s="1"/>
  <c r="X318" i="3" s="1"/>
  <c r="M318" i="3"/>
  <c r="T392" i="1"/>
  <c r="S394" i="3"/>
  <c r="AD394" i="3" s="1"/>
  <c r="AC395" i="3" s="1"/>
  <c r="Y319" i="3"/>
  <c r="D319" i="3" l="1"/>
  <c r="F319" i="3" s="1"/>
  <c r="N318" i="3"/>
  <c r="E319" i="3" s="1"/>
  <c r="G319" i="3" s="1"/>
  <c r="V318" i="3"/>
  <c r="T394" i="3"/>
  <c r="P392" i="1"/>
  <c r="Q392" i="1" l="1"/>
  <c r="U394" i="3"/>
  <c r="U317" i="1"/>
  <c r="H319" i="3"/>
  <c r="I319" i="3" s="1"/>
  <c r="W394" i="3" l="1"/>
  <c r="P395" i="3"/>
  <c r="S317" i="1"/>
  <c r="K319" i="3"/>
  <c r="AA319" i="3"/>
  <c r="Z320" i="3" s="1"/>
  <c r="R317" i="1"/>
  <c r="AB395" i="3" l="1"/>
  <c r="Q395" i="3"/>
  <c r="R395" i="3" s="1"/>
  <c r="T393" i="1" s="1"/>
  <c r="M319" i="3"/>
  <c r="L319" i="3"/>
  <c r="O319" i="3" s="1"/>
  <c r="X319" i="3" s="1"/>
  <c r="S395" i="3" l="1"/>
  <c r="D320" i="3"/>
  <c r="N319" i="3"/>
  <c r="E320" i="3" s="1"/>
  <c r="V319" i="3"/>
  <c r="AD395" i="3" l="1"/>
  <c r="AC396" i="3" s="1"/>
  <c r="P393" i="1"/>
  <c r="T395" i="3"/>
  <c r="F320" i="3"/>
  <c r="G320" i="3" s="1"/>
  <c r="U318" i="1" s="1"/>
  <c r="Y320" i="3"/>
  <c r="U395" i="3" l="1"/>
  <c r="Q393" i="1"/>
  <c r="H320" i="3"/>
  <c r="P396" i="3" l="1"/>
  <c r="W395" i="3"/>
  <c r="R318" i="1"/>
  <c r="AA320" i="3"/>
  <c r="Z321" i="3" s="1"/>
  <c r="I320" i="3"/>
  <c r="Q396" i="3" l="1"/>
  <c r="R396" i="3" s="1"/>
  <c r="AB396" i="3"/>
  <c r="S318" i="1"/>
  <c r="K320" i="3"/>
  <c r="S396" i="3" l="1"/>
  <c r="T396" i="3" s="1"/>
  <c r="T394" i="1"/>
  <c r="L320" i="3"/>
  <c r="O320" i="3" s="1"/>
  <c r="X320" i="3" s="1"/>
  <c r="M320" i="3"/>
  <c r="V320" i="3" s="1"/>
  <c r="P394" i="1" l="1"/>
  <c r="AD396" i="3"/>
  <c r="AC397" i="3" s="1"/>
  <c r="Q394" i="1"/>
  <c r="U396" i="3"/>
  <c r="N320" i="3"/>
  <c r="E321" i="3" s="1"/>
  <c r="D321" i="3"/>
  <c r="P397" i="3" l="1"/>
  <c r="W396" i="3"/>
  <c r="F321" i="3"/>
  <c r="G321" i="3" s="1"/>
  <c r="U319" i="1" s="1"/>
  <c r="Y321" i="3"/>
  <c r="AB397" i="3" l="1"/>
  <c r="R397" i="3" s="1"/>
  <c r="Q397" i="3"/>
  <c r="H321" i="3"/>
  <c r="AA321" i="3" s="1"/>
  <c r="Z322" i="3" s="1"/>
  <c r="S397" i="3" l="1"/>
  <c r="T395" i="1"/>
  <c r="R319" i="1"/>
  <c r="I321" i="3"/>
  <c r="T397" i="3" l="1"/>
  <c r="P395" i="1"/>
  <c r="AD397" i="3"/>
  <c r="AC398" i="3" s="1"/>
  <c r="K321" i="3"/>
  <c r="S319" i="1"/>
  <c r="Q395" i="1" l="1"/>
  <c r="U397" i="3"/>
  <c r="L321" i="3"/>
  <c r="O321" i="3" s="1"/>
  <c r="X321" i="3" s="1"/>
  <c r="M321" i="3"/>
  <c r="P398" i="3" l="1"/>
  <c r="W397" i="3"/>
  <c r="V321" i="3"/>
  <c r="N321" i="3"/>
  <c r="E322" i="3" s="1"/>
  <c r="D322" i="3"/>
  <c r="Q398" i="3" l="1"/>
  <c r="R398" i="3" s="1"/>
  <c r="AB398" i="3"/>
  <c r="Y322" i="3"/>
  <c r="F322" i="3"/>
  <c r="G322" i="3" s="1"/>
  <c r="U320" i="1" s="1"/>
  <c r="S398" i="3" l="1"/>
  <c r="T398" i="3" s="1"/>
  <c r="T396" i="1"/>
  <c r="H322" i="3"/>
  <c r="AA322" i="3" s="1"/>
  <c r="Z323" i="3" s="1"/>
  <c r="AD398" i="3" l="1"/>
  <c r="AC399" i="3" s="1"/>
  <c r="P396" i="1"/>
  <c r="U398" i="3"/>
  <c r="Q396" i="1"/>
  <c r="R320" i="1"/>
  <c r="I322" i="3"/>
  <c r="W398" i="3" l="1"/>
  <c r="P399" i="3"/>
  <c r="K322" i="3"/>
  <c r="S320" i="1"/>
  <c r="Q399" i="3" l="1"/>
  <c r="AB399" i="3"/>
  <c r="L322" i="3"/>
  <c r="O322" i="3" s="1"/>
  <c r="X322" i="3" s="1"/>
  <c r="M322" i="3"/>
  <c r="R399" i="3" l="1"/>
  <c r="V322" i="3"/>
  <c r="N322" i="3"/>
  <c r="E323" i="3" s="1"/>
  <c r="D323" i="3"/>
  <c r="T397" i="1" l="1"/>
  <c r="S399" i="3"/>
  <c r="T399" i="3" s="1"/>
  <c r="F323" i="3"/>
  <c r="G323" i="3" s="1"/>
  <c r="U321" i="1" s="1"/>
  <c r="Y323" i="3"/>
  <c r="P397" i="1" l="1"/>
  <c r="AD399" i="3"/>
  <c r="AC400" i="3" s="1"/>
  <c r="Q397" i="1"/>
  <c r="U399" i="3"/>
  <c r="H323" i="3"/>
  <c r="P400" i="3" l="1"/>
  <c r="W399" i="3"/>
  <c r="R321" i="1"/>
  <c r="AA323" i="3"/>
  <c r="Z324" i="3" s="1"/>
  <c r="I323" i="3"/>
  <c r="Q400" i="3" l="1"/>
  <c r="AB400" i="3"/>
  <c r="S321" i="1"/>
  <c r="K323" i="3"/>
  <c r="M323" i="3" s="1"/>
  <c r="R400" i="3" l="1"/>
  <c r="N323" i="3"/>
  <c r="E324" i="3" s="1"/>
  <c r="D324" i="3"/>
  <c r="F324" i="3" s="1"/>
  <c r="L323" i="3"/>
  <c r="O323" i="3" s="1"/>
  <c r="X323" i="3" s="1"/>
  <c r="V323" i="3"/>
  <c r="Y324" i="3"/>
  <c r="S400" i="3" l="1"/>
  <c r="T398" i="1"/>
  <c r="G324" i="3"/>
  <c r="P398" i="1" l="1"/>
  <c r="T400" i="3"/>
  <c r="AD400" i="3"/>
  <c r="AC401" i="3" s="1"/>
  <c r="U322" i="1"/>
  <c r="H324" i="3"/>
  <c r="AA324" i="3" s="1"/>
  <c r="Z325" i="3" s="1"/>
  <c r="Q398" i="1" l="1"/>
  <c r="U400" i="3"/>
  <c r="P401" i="3"/>
  <c r="W400" i="3"/>
  <c r="R322" i="1"/>
  <c r="I324" i="3"/>
  <c r="Q401" i="3" l="1"/>
  <c r="R401" i="3" s="1"/>
  <c r="AB401" i="3"/>
  <c r="S322" i="1"/>
  <c r="K324" i="3"/>
  <c r="M324" i="3" s="1"/>
  <c r="T399" i="1" l="1"/>
  <c r="S401" i="3"/>
  <c r="D325" i="3"/>
  <c r="N324" i="3"/>
  <c r="E325" i="3" s="1"/>
  <c r="V324" i="3"/>
  <c r="L324" i="3"/>
  <c r="O324" i="3" s="1"/>
  <c r="X324" i="3" s="1"/>
  <c r="P399" i="1" l="1"/>
  <c r="AD401" i="3"/>
  <c r="AC402" i="3" s="1"/>
  <c r="T401" i="3"/>
  <c r="Y325" i="3"/>
  <c r="F325" i="3"/>
  <c r="Q399" i="1" l="1"/>
  <c r="U401" i="3"/>
  <c r="G325" i="3"/>
  <c r="H325" i="3" s="1"/>
  <c r="P402" i="3" l="1"/>
  <c r="W401" i="3"/>
  <c r="AA325" i="3"/>
  <c r="Z326" i="3" s="1"/>
  <c r="R323" i="1"/>
  <c r="I325" i="3"/>
  <c r="U323" i="1"/>
  <c r="AB402" i="3" l="1"/>
  <c r="Q402" i="3"/>
  <c r="R402" i="3" s="1"/>
  <c r="T400" i="1" s="1"/>
  <c r="K325" i="3"/>
  <c r="M325" i="3" s="1"/>
  <c r="S323" i="1"/>
  <c r="S402" i="3" l="1"/>
  <c r="AD402" i="3" s="1"/>
  <c r="AC403" i="3" s="1"/>
  <c r="N325" i="3"/>
  <c r="E326" i="3" s="1"/>
  <c r="D326" i="3"/>
  <c r="V325" i="3"/>
  <c r="L325" i="3"/>
  <c r="O325" i="3" s="1"/>
  <c r="X325" i="3" s="1"/>
  <c r="P400" i="1" l="1"/>
  <c r="T402" i="3"/>
  <c r="Y326" i="3"/>
  <c r="F326" i="3"/>
  <c r="W402" i="3" l="1"/>
  <c r="Q400" i="1"/>
  <c r="U402" i="3"/>
  <c r="P403" i="3" s="1"/>
  <c r="G326" i="3"/>
  <c r="Q403" i="3" l="1"/>
  <c r="R403" i="3" s="1"/>
  <c r="T401" i="1" s="1"/>
  <c r="AB403" i="3"/>
  <c r="H326" i="3"/>
  <c r="U324" i="1"/>
  <c r="AD403" i="3" l="1"/>
  <c r="AC404" i="3" s="1"/>
  <c r="S403" i="3"/>
  <c r="R324" i="1"/>
  <c r="AA326" i="3"/>
  <c r="Z327" i="3" s="1"/>
  <c r="I326" i="3"/>
  <c r="P401" i="1" l="1"/>
  <c r="T403" i="3"/>
  <c r="S324" i="1"/>
  <c r="K326" i="3"/>
  <c r="M326" i="3" s="1"/>
  <c r="Q401" i="1" l="1"/>
  <c r="U403" i="3"/>
  <c r="D327" i="3"/>
  <c r="N326" i="3"/>
  <c r="E327" i="3" s="1"/>
  <c r="V326" i="3"/>
  <c r="L326" i="3"/>
  <c r="O326" i="3" s="1"/>
  <c r="X326" i="3" s="1"/>
  <c r="P404" i="3" l="1"/>
  <c r="W403" i="3"/>
  <c r="Y327" i="3"/>
  <c r="F327" i="3"/>
  <c r="Q404" i="3" l="1"/>
  <c r="R404" i="3" s="1"/>
  <c r="AB404" i="3"/>
  <c r="G327" i="3"/>
  <c r="H327" i="3" s="1"/>
  <c r="T402" i="1" l="1"/>
  <c r="S404" i="3"/>
  <c r="I327" i="3"/>
  <c r="U325" i="1"/>
  <c r="AA327" i="3"/>
  <c r="Z328" i="3" s="1"/>
  <c r="R325" i="1"/>
  <c r="P402" i="1" l="1"/>
  <c r="T404" i="3"/>
  <c r="AD404" i="3"/>
  <c r="AC405" i="3" s="1"/>
  <c r="K327" i="3"/>
  <c r="S325" i="1"/>
  <c r="U404" i="3" l="1"/>
  <c r="Q402" i="1"/>
  <c r="L327" i="3"/>
  <c r="O327" i="3" s="1"/>
  <c r="X327" i="3" s="1"/>
  <c r="M327" i="3"/>
  <c r="V327" i="3"/>
  <c r="P405" i="3" l="1"/>
  <c r="W404" i="3"/>
  <c r="D328" i="3"/>
  <c r="N327" i="3"/>
  <c r="E328" i="3" s="1"/>
  <c r="AB405" i="3"/>
  <c r="Q405" i="3"/>
  <c r="R405" i="3" s="1"/>
  <c r="F328" i="3"/>
  <c r="G328" i="3" s="1"/>
  <c r="U326" i="1" s="1"/>
  <c r="Y328" i="3"/>
  <c r="S405" i="3" l="1"/>
  <c r="T405" i="3" s="1"/>
  <c r="T403" i="1"/>
  <c r="H328" i="3"/>
  <c r="AD405" i="3" l="1"/>
  <c r="AC406" i="3" s="1"/>
  <c r="P403" i="1"/>
  <c r="U405" i="3"/>
  <c r="Q403" i="1"/>
  <c r="AA328" i="3"/>
  <c r="Z329" i="3" s="1"/>
  <c r="R326" i="1"/>
  <c r="I328" i="3"/>
  <c r="P406" i="3" l="1"/>
  <c r="W405" i="3"/>
  <c r="Q406" i="3"/>
  <c r="R406" i="3" s="1"/>
  <c r="AB406" i="3"/>
  <c r="S326" i="1"/>
  <c r="K328" i="3"/>
  <c r="M328" i="3" s="1"/>
  <c r="S406" i="3" l="1"/>
  <c r="T406" i="3" s="1"/>
  <c r="T404" i="1"/>
  <c r="N328" i="3"/>
  <c r="E329" i="3" s="1"/>
  <c r="D329" i="3"/>
  <c r="V328" i="3"/>
  <c r="L328" i="3"/>
  <c r="O328" i="3" s="1"/>
  <c r="X328" i="3" s="1"/>
  <c r="P404" i="1" l="1"/>
  <c r="AD406" i="3"/>
  <c r="AC407" i="3" s="1"/>
  <c r="Q404" i="1"/>
  <c r="U406" i="3"/>
  <c r="P407" i="3" s="1"/>
  <c r="Y329" i="3"/>
  <c r="F329" i="3"/>
  <c r="W406" i="3"/>
  <c r="G329" i="3" l="1"/>
  <c r="AB407" i="3"/>
  <c r="Q407" i="3"/>
  <c r="R407" i="3" s="1"/>
  <c r="U327" i="1" l="1"/>
  <c r="H329" i="3"/>
  <c r="I329" i="3" s="1"/>
  <c r="S407" i="3"/>
  <c r="T407" i="3" s="1"/>
  <c r="T405" i="1"/>
  <c r="S327" i="1" l="1"/>
  <c r="K329" i="3"/>
  <c r="M329" i="3" s="1"/>
  <c r="AA329" i="3"/>
  <c r="Z330" i="3" s="1"/>
  <c r="R327" i="1"/>
  <c r="U407" i="3"/>
  <c r="Q405" i="1"/>
  <c r="AD407" i="3"/>
  <c r="AC408" i="3" s="1"/>
  <c r="P405" i="1"/>
  <c r="N329" i="3" l="1"/>
  <c r="E330" i="3" s="1"/>
  <c r="D330" i="3"/>
  <c r="M33" i="1"/>
  <c r="V329" i="3"/>
  <c r="L329" i="3"/>
  <c r="O329" i="3" s="1"/>
  <c r="X329" i="3" s="1"/>
  <c r="P408" i="3"/>
  <c r="W407" i="3"/>
  <c r="Q408" i="3"/>
  <c r="AB408" i="3"/>
  <c r="F330" i="3" l="1"/>
  <c r="Y330" i="3"/>
  <c r="R408" i="3"/>
  <c r="G330" i="3" l="1"/>
  <c r="S408" i="3"/>
  <c r="T406" i="1"/>
  <c r="U328" i="1" l="1"/>
  <c r="H330" i="3"/>
  <c r="I330" i="3" s="1"/>
  <c r="T408" i="3"/>
  <c r="P406" i="1"/>
  <c r="AD408" i="3"/>
  <c r="AC409" i="3" s="1"/>
  <c r="S328" i="1" l="1"/>
  <c r="K330" i="3"/>
  <c r="AA330" i="3"/>
  <c r="Z331" i="3" s="1"/>
  <c r="R328" i="1"/>
  <c r="Q406" i="1"/>
  <c r="U408" i="3"/>
  <c r="M330" i="3" l="1"/>
  <c r="L330" i="3"/>
  <c r="O330" i="3" s="1"/>
  <c r="X330" i="3" s="1"/>
  <c r="W408" i="3"/>
  <c r="P409" i="3"/>
  <c r="D331" i="3" l="1"/>
  <c r="N330" i="3"/>
  <c r="E331" i="3" s="1"/>
  <c r="V330" i="3"/>
  <c r="Q409" i="3"/>
  <c r="AB409" i="3"/>
  <c r="F331" i="3" l="1"/>
  <c r="G331" i="3" s="1"/>
  <c r="U329" i="1" s="1"/>
  <c r="Y331" i="3"/>
  <c r="R409" i="3"/>
  <c r="H331" i="3" l="1"/>
  <c r="T407" i="1"/>
  <c r="S409" i="3"/>
  <c r="AA331" i="3" l="1"/>
  <c r="Z332" i="3" s="1"/>
  <c r="R329" i="1"/>
  <c r="I331" i="3"/>
  <c r="T409" i="3"/>
  <c r="AD409" i="3"/>
  <c r="AC410" i="3" s="1"/>
  <c r="P407" i="1"/>
  <c r="K331" i="3" l="1"/>
  <c r="S329" i="1"/>
  <c r="Q407" i="1"/>
  <c r="U409" i="3"/>
  <c r="L331" i="3" l="1"/>
  <c r="O331" i="3" s="1"/>
  <c r="X331" i="3" s="1"/>
  <c r="M331" i="3"/>
  <c r="P410" i="3"/>
  <c r="W409" i="3"/>
  <c r="V331" i="3" l="1"/>
  <c r="D332" i="3"/>
  <c r="N331" i="3"/>
  <c r="E332" i="3" s="1"/>
  <c r="Q410" i="3"/>
  <c r="AB410" i="3"/>
  <c r="Y332" i="3" l="1"/>
  <c r="F332" i="3"/>
  <c r="R410" i="3"/>
  <c r="G332" i="3" l="1"/>
  <c r="S410" i="3"/>
  <c r="T408" i="1"/>
  <c r="U330" i="1" l="1"/>
  <c r="H332" i="3"/>
  <c r="AA332" i="3" s="1"/>
  <c r="Z333" i="3" s="1"/>
  <c r="P408" i="1"/>
  <c r="AD410" i="3"/>
  <c r="AC411" i="3" s="1"/>
  <c r="T410" i="3"/>
  <c r="R330" i="1" l="1"/>
  <c r="I332" i="3"/>
  <c r="S330" i="1"/>
  <c r="K332" i="3"/>
  <c r="Q408" i="1"/>
  <c r="U410" i="3"/>
  <c r="M332" i="3" l="1"/>
  <c r="L332" i="3"/>
  <c r="O332" i="3" s="1"/>
  <c r="X332" i="3" s="1"/>
  <c r="P411" i="3"/>
  <c r="AB411" i="3" s="1"/>
  <c r="W410" i="3"/>
  <c r="Q411" i="3"/>
  <c r="R411" i="3" l="1"/>
  <c r="V332" i="3"/>
  <c r="N332" i="3"/>
  <c r="E333" i="3" s="1"/>
  <c r="D333" i="3"/>
  <c r="T409" i="1" l="1"/>
  <c r="S411" i="3"/>
  <c r="F333" i="3"/>
  <c r="Y333" i="3"/>
  <c r="T411" i="3" l="1"/>
  <c r="P409" i="1"/>
  <c r="AD411" i="3"/>
  <c r="AC412" i="3" s="1"/>
  <c r="G333" i="3"/>
  <c r="Q409" i="1" l="1"/>
  <c r="U411" i="3"/>
  <c r="H333" i="3"/>
  <c r="U331" i="1"/>
  <c r="P412" i="3" l="1"/>
  <c r="W411" i="3"/>
  <c r="I333" i="3"/>
  <c r="R331" i="1"/>
  <c r="AA333" i="3"/>
  <c r="Z334" i="3" s="1"/>
  <c r="AB412" i="3" l="1"/>
  <c r="Q412" i="3"/>
  <c r="K333" i="3"/>
  <c r="S331" i="1"/>
  <c r="R412" i="3" l="1"/>
  <c r="M333" i="3"/>
  <c r="L333" i="3"/>
  <c r="O333" i="3" s="1"/>
  <c r="X333" i="3" s="1"/>
  <c r="S412" i="3" l="1"/>
  <c r="T410" i="1"/>
  <c r="V333" i="3"/>
  <c r="D334" i="3"/>
  <c r="N333" i="3"/>
  <c r="E334" i="3" s="1"/>
  <c r="T412" i="3" l="1"/>
  <c r="P410" i="1"/>
  <c r="AD412" i="3"/>
  <c r="AC413" i="3" s="1"/>
  <c r="Y334" i="3"/>
  <c r="F334" i="3"/>
  <c r="G334" i="3" s="1"/>
  <c r="U332" i="1" s="1"/>
  <c r="Q410" i="1" l="1"/>
  <c r="U412" i="3"/>
  <c r="H334" i="3"/>
  <c r="W412" i="3" l="1"/>
  <c r="P413" i="3"/>
  <c r="R332" i="1"/>
  <c r="AA334" i="3"/>
  <c r="Z335" i="3" s="1"/>
  <c r="I334" i="3"/>
  <c r="AB413" i="3" l="1"/>
  <c r="Q413" i="3"/>
  <c r="K334" i="3"/>
  <c r="M334" i="3" s="1"/>
  <c r="S332" i="1"/>
  <c r="R413" i="3" l="1"/>
  <c r="D335" i="3"/>
  <c r="N334" i="3"/>
  <c r="E335" i="3" s="1"/>
  <c r="V334" i="3"/>
  <c r="L334" i="3"/>
  <c r="O334" i="3" s="1"/>
  <c r="X334" i="3" s="1"/>
  <c r="S413" i="3" l="1"/>
  <c r="T411" i="1"/>
  <c r="Y335" i="3"/>
  <c r="F335" i="3"/>
  <c r="AD413" i="3" l="1"/>
  <c r="AC414" i="3" s="1"/>
  <c r="P411" i="1"/>
  <c r="T413" i="3"/>
  <c r="G335" i="3"/>
  <c r="Q411" i="1" l="1"/>
  <c r="U413" i="3"/>
  <c r="H335" i="3"/>
  <c r="U333" i="1"/>
  <c r="P414" i="3" l="1"/>
  <c r="W413" i="3"/>
  <c r="AB414" i="3"/>
  <c r="Q414" i="3"/>
  <c r="I335" i="3"/>
  <c r="R333" i="1"/>
  <c r="AA335" i="3"/>
  <c r="Z336" i="3" s="1"/>
  <c r="R414" i="3" l="1"/>
  <c r="T414" i="3" s="1"/>
  <c r="T412" i="1"/>
  <c r="S414" i="3"/>
  <c r="P412" i="1" s="1"/>
  <c r="K335" i="3"/>
  <c r="S333" i="1"/>
  <c r="AD414" i="3"/>
  <c r="AC415" i="3" s="1"/>
  <c r="M335" i="3" l="1"/>
  <c r="L335" i="3"/>
  <c r="O335" i="3" s="1"/>
  <c r="X335" i="3" s="1"/>
  <c r="Q412" i="1"/>
  <c r="U414" i="3"/>
  <c r="V335" i="3" l="1"/>
  <c r="D336" i="3"/>
  <c r="N335" i="3"/>
  <c r="E336" i="3" s="1"/>
  <c r="P415" i="3"/>
  <c r="W414" i="3"/>
  <c r="F336" i="3" l="1"/>
  <c r="Y336" i="3"/>
  <c r="AB415" i="3"/>
  <c r="Q415" i="3"/>
  <c r="G336" i="3" l="1"/>
  <c r="R415" i="3"/>
  <c r="U334" i="1" l="1"/>
  <c r="H336" i="3"/>
  <c r="S415" i="3"/>
  <c r="T413" i="1"/>
  <c r="I336" i="3" l="1"/>
  <c r="R334" i="1"/>
  <c r="AA336" i="3"/>
  <c r="Z337" i="3" s="1"/>
  <c r="AD415" i="3"/>
  <c r="AC416" i="3" s="1"/>
  <c r="P413" i="1"/>
  <c r="T415" i="3"/>
  <c r="K336" i="3" l="1"/>
  <c r="S334" i="1"/>
  <c r="U415" i="3"/>
  <c r="Q413" i="1"/>
  <c r="L336" i="3" l="1"/>
  <c r="O336" i="3" s="1"/>
  <c r="X336" i="3" s="1"/>
  <c r="M336" i="3"/>
  <c r="V336" i="3" s="1"/>
  <c r="P416" i="3"/>
  <c r="W415" i="3"/>
  <c r="N336" i="3" l="1"/>
  <c r="E337" i="3" s="1"/>
  <c r="D337" i="3"/>
  <c r="AB416" i="3"/>
  <c r="Q416" i="3"/>
  <c r="R416" i="3" s="1"/>
  <c r="T414" i="1" s="1"/>
  <c r="F337" i="3" l="1"/>
  <c r="G337" i="3" s="1"/>
  <c r="Y337" i="3"/>
  <c r="S416" i="3"/>
  <c r="AD416" i="3" s="1"/>
  <c r="AC417" i="3" s="1"/>
  <c r="U335" i="1" l="1"/>
  <c r="H337" i="3"/>
  <c r="I337" i="3" s="1"/>
  <c r="P414" i="1"/>
  <c r="T416" i="3"/>
  <c r="K337" i="3" l="1"/>
  <c r="S335" i="1"/>
  <c r="AA337" i="3"/>
  <c r="Z338" i="3" s="1"/>
  <c r="R335" i="1"/>
  <c r="U416" i="3"/>
  <c r="Q414" i="1"/>
  <c r="P417" i="3" l="1"/>
  <c r="AB417" i="3" s="1"/>
  <c r="W416" i="3"/>
  <c r="M337" i="3"/>
  <c r="L337" i="3"/>
  <c r="O337" i="3" s="1"/>
  <c r="X337" i="3" s="1"/>
  <c r="Q417" i="3"/>
  <c r="V337" i="3" l="1"/>
  <c r="D338" i="3"/>
  <c r="N337" i="3"/>
  <c r="E338" i="3" s="1"/>
  <c r="R417" i="3"/>
  <c r="F338" i="3" l="1"/>
  <c r="Y338" i="3"/>
  <c r="S417" i="3"/>
  <c r="T415" i="1"/>
  <c r="P415" i="1"/>
  <c r="T417" i="3" l="1"/>
  <c r="AD417" i="3"/>
  <c r="AC418" i="3" s="1"/>
  <c r="G338" i="3"/>
  <c r="Q415" i="1"/>
  <c r="U417" i="3"/>
  <c r="U336" i="1" l="1"/>
  <c r="H338" i="3"/>
  <c r="P418" i="3"/>
  <c r="AB418" i="3" s="1"/>
  <c r="W417" i="3"/>
  <c r="Q418" i="3"/>
  <c r="AA338" i="3" l="1"/>
  <c r="Z339" i="3" s="1"/>
  <c r="R336" i="1"/>
  <c r="I338" i="3"/>
  <c r="K338" i="3"/>
  <c r="S336" i="1"/>
  <c r="R418" i="3"/>
  <c r="L338" i="3" l="1"/>
  <c r="O338" i="3" s="1"/>
  <c r="X338" i="3" s="1"/>
  <c r="M338" i="3"/>
  <c r="S418" i="3"/>
  <c r="T416" i="1"/>
  <c r="V338" i="3" l="1"/>
  <c r="D339" i="3"/>
  <c r="N338" i="3"/>
  <c r="E339" i="3" s="1"/>
  <c r="T418" i="3"/>
  <c r="P416" i="1"/>
  <c r="AD418" i="3"/>
  <c r="AC419" i="3" s="1"/>
  <c r="F339" i="3" l="1"/>
  <c r="Y339" i="3"/>
  <c r="Q416" i="1"/>
  <c r="U418" i="3"/>
  <c r="G339" i="3" l="1"/>
  <c r="W418" i="3"/>
  <c r="P419" i="3"/>
  <c r="H339" i="3" l="1"/>
  <c r="AA339" i="3" s="1"/>
  <c r="Z340" i="3" s="1"/>
  <c r="U337" i="1"/>
  <c r="Q419" i="3"/>
  <c r="R419" i="3" s="1"/>
  <c r="T417" i="1" s="1"/>
  <c r="AB419" i="3"/>
  <c r="I339" i="3" l="1"/>
  <c r="R337" i="1"/>
  <c r="S419" i="3"/>
  <c r="K339" i="3" l="1"/>
  <c r="S337" i="1"/>
  <c r="AD419" i="3"/>
  <c r="AC420" i="3" s="1"/>
  <c r="P417" i="1"/>
  <c r="T419" i="3"/>
  <c r="M339" i="3" l="1"/>
  <c r="L339" i="3"/>
  <c r="O339" i="3" s="1"/>
  <c r="X339" i="3" s="1"/>
  <c r="Q417" i="1"/>
  <c r="U419" i="3"/>
  <c r="N339" i="3" l="1"/>
  <c r="E340" i="3" s="1"/>
  <c r="D340" i="3"/>
  <c r="V339" i="3"/>
  <c r="P420" i="3"/>
  <c r="W419" i="3"/>
  <c r="Y340" i="3" l="1"/>
  <c r="F340" i="3"/>
  <c r="AB420" i="3"/>
  <c r="Q420" i="3"/>
  <c r="R420" i="3" s="1"/>
  <c r="T418" i="1" s="1"/>
  <c r="G340" i="3" l="1"/>
  <c r="S420" i="3"/>
  <c r="AD420" i="3" s="1"/>
  <c r="AC421" i="3" s="1"/>
  <c r="U338" i="1" l="1"/>
  <c r="H340" i="3"/>
  <c r="P418" i="1"/>
  <c r="T420" i="3"/>
  <c r="I340" i="3" l="1"/>
  <c r="AA340" i="3"/>
  <c r="Z341" i="3" s="1"/>
  <c r="R338" i="1"/>
  <c r="U420" i="3"/>
  <c r="Q418" i="1"/>
  <c r="S338" i="1" l="1"/>
  <c r="K340" i="3"/>
  <c r="P421" i="3"/>
  <c r="W420" i="3"/>
  <c r="L340" i="3" l="1"/>
  <c r="O340" i="3" s="1"/>
  <c r="X340" i="3" s="1"/>
  <c r="M340" i="3"/>
  <c r="AB421" i="3"/>
  <c r="Q421" i="3"/>
  <c r="R421" i="3" s="1"/>
  <c r="T419" i="1" s="1"/>
  <c r="V340" i="3" l="1"/>
  <c r="N340" i="3"/>
  <c r="E341" i="3" s="1"/>
  <c r="D341" i="3"/>
  <c r="S421" i="3"/>
  <c r="AD421" i="3" s="1"/>
  <c r="AC422" i="3" s="1"/>
  <c r="F341" i="3" l="1"/>
  <c r="Y341" i="3"/>
  <c r="P419" i="1"/>
  <c r="T421" i="3"/>
  <c r="G341" i="3" l="1"/>
  <c r="H341" i="3"/>
  <c r="U421" i="3"/>
  <c r="Q419" i="1"/>
  <c r="I341" i="3" l="1"/>
  <c r="U339" i="1"/>
  <c r="AA341" i="3"/>
  <c r="Z342" i="3" s="1"/>
  <c r="R339" i="1"/>
  <c r="P422" i="3"/>
  <c r="W421" i="3"/>
  <c r="S339" i="1" l="1"/>
  <c r="K341" i="3"/>
  <c r="AB422" i="3"/>
  <c r="Q422" i="3"/>
  <c r="R422" i="3" s="1"/>
  <c r="L341" i="3" l="1"/>
  <c r="O341" i="3" s="1"/>
  <c r="X341" i="3" s="1"/>
  <c r="M341" i="3"/>
  <c r="V341" i="3" s="1"/>
  <c r="S422" i="3"/>
  <c r="T420" i="1"/>
  <c r="N341" i="3" l="1"/>
  <c r="E342" i="3" s="1"/>
  <c r="M34" i="1"/>
  <c r="D342" i="3"/>
  <c r="P420" i="1"/>
  <c r="AD422" i="3"/>
  <c r="AC423" i="3" s="1"/>
  <c r="T422" i="3"/>
  <c r="Y342" i="3" l="1"/>
  <c r="F342" i="3"/>
  <c r="G342" i="3" s="1"/>
  <c r="U422" i="3"/>
  <c r="Q420" i="1"/>
  <c r="AA342" i="3" l="1"/>
  <c r="Z343" i="3" s="1"/>
  <c r="H342" i="3"/>
  <c r="R340" i="1" s="1"/>
  <c r="U340" i="1"/>
  <c r="I342" i="3"/>
  <c r="P423" i="3"/>
  <c r="W422" i="3"/>
  <c r="AB423" i="3"/>
  <c r="Q423" i="3"/>
  <c r="R423" i="3" s="1"/>
  <c r="S340" i="1" l="1"/>
  <c r="K342" i="3"/>
  <c r="T421" i="1"/>
  <c r="S423" i="3"/>
  <c r="L342" i="3" l="1"/>
  <c r="O342" i="3" s="1"/>
  <c r="X342" i="3" s="1"/>
  <c r="M342" i="3"/>
  <c r="P421" i="1"/>
  <c r="AD423" i="3"/>
  <c r="AC424" i="3" s="1"/>
  <c r="T423" i="3"/>
  <c r="V342" i="3" l="1"/>
  <c r="N342" i="3"/>
  <c r="E343" i="3" s="1"/>
  <c r="D343" i="3"/>
  <c r="U423" i="3"/>
  <c r="Q421" i="1"/>
  <c r="F343" i="3" l="1"/>
  <c r="G343" i="3" s="1"/>
  <c r="U341" i="1" s="1"/>
  <c r="Y343" i="3"/>
  <c r="W423" i="3"/>
  <c r="P424" i="3"/>
  <c r="H343" i="3" l="1"/>
  <c r="AA343" i="3" s="1"/>
  <c r="Z344" i="3" s="1"/>
  <c r="Q424" i="3"/>
  <c r="AB424" i="3"/>
  <c r="R424" i="3" s="1"/>
  <c r="S424" i="3" s="1"/>
  <c r="R341" i="1" l="1"/>
  <c r="I343" i="3"/>
  <c r="AD424" i="3"/>
  <c r="AC425" i="3" s="1"/>
  <c r="P422" i="1"/>
  <c r="T424" i="3"/>
  <c r="T422" i="1"/>
  <c r="K343" i="3" l="1"/>
  <c r="S341" i="1"/>
  <c r="U424" i="3"/>
  <c r="Q422" i="1"/>
  <c r="L343" i="3" l="1"/>
  <c r="O343" i="3" s="1"/>
  <c r="X343" i="3" s="1"/>
  <c r="M343" i="3"/>
  <c r="V343" i="3"/>
  <c r="P425" i="3"/>
  <c r="W424" i="3"/>
  <c r="D344" i="3" l="1"/>
  <c r="N343" i="3"/>
  <c r="E344" i="3" s="1"/>
  <c r="Q425" i="3"/>
  <c r="AB425" i="3"/>
  <c r="Y344" i="3" l="1"/>
  <c r="F344" i="3"/>
  <c r="G344" i="3" s="1"/>
  <c r="R425" i="3"/>
  <c r="S425" i="3" s="1"/>
  <c r="U342" i="1" l="1"/>
  <c r="H344" i="3"/>
  <c r="I344" i="3" s="1"/>
  <c r="T423" i="1"/>
  <c r="T425" i="3"/>
  <c r="AD425" i="3"/>
  <c r="AC426" i="3" s="1"/>
  <c r="P423" i="1"/>
  <c r="K344" i="3" l="1"/>
  <c r="S342" i="1"/>
  <c r="AA344" i="3"/>
  <c r="Z345" i="3" s="1"/>
  <c r="R342" i="1"/>
  <c r="U425" i="3"/>
  <c r="W425" i="3" s="1"/>
  <c r="Q423" i="1"/>
  <c r="L344" i="3" l="1"/>
  <c r="O344" i="3" s="1"/>
  <c r="X344" i="3" s="1"/>
  <c r="M344" i="3"/>
  <c r="P426" i="3"/>
  <c r="L39" i="1"/>
  <c r="N344" i="3" l="1"/>
  <c r="E345" i="3" s="1"/>
  <c r="D345" i="3"/>
  <c r="V344" i="3"/>
  <c r="R426" i="3"/>
  <c r="Q426" i="3"/>
  <c r="AB426" i="3"/>
  <c r="F345" i="3" l="1"/>
  <c r="G345" i="3" s="1"/>
  <c r="Y345" i="3"/>
  <c r="T424" i="1"/>
  <c r="S426" i="3"/>
  <c r="U343" i="1" l="1"/>
  <c r="H345" i="3"/>
  <c r="P424" i="1"/>
  <c r="T426" i="3"/>
  <c r="AD426" i="3"/>
  <c r="AC427" i="3" s="1"/>
  <c r="R343" i="1" l="1"/>
  <c r="I345" i="3"/>
  <c r="AA345" i="3"/>
  <c r="Z346" i="3" s="1"/>
  <c r="Q424" i="1"/>
  <c r="U426" i="3"/>
  <c r="S343" i="1" l="1"/>
  <c r="K345" i="3"/>
  <c r="P427" i="3"/>
  <c r="W426" i="3"/>
  <c r="L345" i="3" l="1"/>
  <c r="O345" i="3" s="1"/>
  <c r="X345" i="3" s="1"/>
  <c r="M345" i="3"/>
  <c r="V345" i="3" s="1"/>
  <c r="AB427" i="3"/>
  <c r="R427" i="3"/>
  <c r="Q427" i="3"/>
  <c r="D346" i="3" l="1"/>
  <c r="N345" i="3"/>
  <c r="E346" i="3" s="1"/>
  <c r="S427" i="3"/>
  <c r="T427" i="3" s="1"/>
  <c r="T425" i="1"/>
  <c r="Y346" i="3" l="1"/>
  <c r="F346" i="3"/>
  <c r="G346" i="3" s="1"/>
  <c r="U427" i="3"/>
  <c r="Q425" i="1"/>
  <c r="P425" i="1"/>
  <c r="AD427" i="3"/>
  <c r="AC428" i="3" s="1"/>
  <c r="AA346" i="3" l="1"/>
  <c r="Z347" i="3" s="1"/>
  <c r="H346" i="3"/>
  <c r="R344" i="1" s="1"/>
  <c r="I346" i="3"/>
  <c r="U344" i="1"/>
  <c r="P428" i="3"/>
  <c r="W427" i="3"/>
  <c r="S344" i="1" l="1"/>
  <c r="K346" i="3"/>
  <c r="Q428" i="3"/>
  <c r="AB428" i="3"/>
  <c r="R428" i="3"/>
  <c r="L346" i="3" l="1"/>
  <c r="O346" i="3" s="1"/>
  <c r="X346" i="3" s="1"/>
  <c r="M346" i="3"/>
  <c r="S428" i="3"/>
  <c r="T426" i="1"/>
  <c r="D347" i="3" l="1"/>
  <c r="N346" i="3"/>
  <c r="E347" i="3" s="1"/>
  <c r="V346" i="3"/>
  <c r="P426" i="1"/>
  <c r="T428" i="3"/>
  <c r="AD428" i="3"/>
  <c r="AC429" i="3" s="1"/>
  <c r="F347" i="3" l="1"/>
  <c r="G347" i="3" s="1"/>
  <c r="Y347" i="3"/>
  <c r="U428" i="3"/>
  <c r="Q426" i="1"/>
  <c r="P429" i="3"/>
  <c r="W428" i="3"/>
  <c r="Q429" i="3"/>
  <c r="I347" i="3" l="1"/>
  <c r="U345" i="1"/>
  <c r="AA347" i="3"/>
  <c r="Z348" i="3" s="1"/>
  <c r="H347" i="3"/>
  <c r="R345" i="1" s="1"/>
  <c r="R429" i="3"/>
  <c r="T427" i="1" s="1"/>
  <c r="AB429" i="3"/>
  <c r="S429" i="3" s="1"/>
  <c r="K347" i="3" l="1"/>
  <c r="L347" i="3" s="1"/>
  <c r="O347" i="3" s="1"/>
  <c r="X347" i="3" s="1"/>
  <c r="M347" i="3"/>
  <c r="V347" i="3" s="1"/>
  <c r="S345" i="1"/>
  <c r="P427" i="1"/>
  <c r="AD429" i="3"/>
  <c r="AC430" i="3" s="1"/>
  <c r="T429" i="3"/>
  <c r="N347" i="3" l="1"/>
  <c r="E348" i="3" s="1"/>
  <c r="D348" i="3"/>
  <c r="Q427" i="1"/>
  <c r="U429" i="3"/>
  <c r="Y348" i="3" l="1"/>
  <c r="G348" i="3" s="1"/>
  <c r="F348" i="3"/>
  <c r="P430" i="3"/>
  <c r="W429" i="3"/>
  <c r="Q430" i="3"/>
  <c r="U346" i="1" l="1"/>
  <c r="H348" i="3"/>
  <c r="AB430" i="3"/>
  <c r="R430" i="3"/>
  <c r="T428" i="1" s="1"/>
  <c r="S430" i="3" l="1"/>
  <c r="R346" i="1"/>
  <c r="I348" i="3"/>
  <c r="AA348" i="3"/>
  <c r="Z349" i="3" s="1"/>
  <c r="S346" i="1" l="1"/>
  <c r="K348" i="3"/>
  <c r="P428" i="1"/>
  <c r="T430" i="3"/>
  <c r="AD430" i="3"/>
  <c r="AC431" i="3" s="1"/>
  <c r="L348" i="3" l="1"/>
  <c r="O348" i="3" s="1"/>
  <c r="X348" i="3" s="1"/>
  <c r="M348" i="3"/>
  <c r="V348" i="3" s="1"/>
  <c r="Q428" i="1"/>
  <c r="U430" i="3"/>
  <c r="N348" i="3" l="1"/>
  <c r="E349" i="3" s="1"/>
  <c r="D349" i="3"/>
  <c r="P431" i="3"/>
  <c r="W430" i="3"/>
  <c r="F349" i="3" l="1"/>
  <c r="G349" i="3" s="1"/>
  <c r="U347" i="1" s="1"/>
  <c r="Y349" i="3"/>
  <c r="Q431" i="3"/>
  <c r="AB431" i="3"/>
  <c r="S431" i="3" s="1"/>
  <c r="R431" i="3"/>
  <c r="T429" i="1" s="1"/>
  <c r="H349" i="3" l="1"/>
  <c r="AA349" i="3" s="1"/>
  <c r="Z350" i="3" s="1"/>
  <c r="AD431" i="3"/>
  <c r="AC432" i="3" s="1"/>
  <c r="P429" i="1"/>
  <c r="T431" i="3"/>
  <c r="Q429" i="1" s="1"/>
  <c r="U431" i="3"/>
  <c r="R347" i="1" l="1"/>
  <c r="I349" i="3"/>
  <c r="P432" i="3"/>
  <c r="W431" i="3"/>
  <c r="Q432" i="3"/>
  <c r="K349" i="3" l="1"/>
  <c r="S347" i="1"/>
  <c r="AB432" i="3"/>
  <c r="S432" i="3" s="1"/>
  <c r="R432" i="3"/>
  <c r="T430" i="1" s="1"/>
  <c r="L349" i="3" l="1"/>
  <c r="O349" i="3" s="1"/>
  <c r="X349" i="3" s="1"/>
  <c r="M349" i="3"/>
  <c r="V349" i="3" s="1"/>
  <c r="P430" i="1"/>
  <c r="AD432" i="3"/>
  <c r="AC433" i="3" s="1"/>
  <c r="T432" i="3"/>
  <c r="N349" i="3" l="1"/>
  <c r="E350" i="3" s="1"/>
  <c r="D350" i="3"/>
  <c r="Q430" i="1"/>
  <c r="U432" i="3"/>
  <c r="Y350" i="3" l="1"/>
  <c r="F350" i="3"/>
  <c r="G350" i="3" s="1"/>
  <c r="P433" i="3"/>
  <c r="W432" i="3"/>
  <c r="U348" i="1" l="1"/>
  <c r="AA350" i="3"/>
  <c r="Z351" i="3" s="1"/>
  <c r="H350" i="3"/>
  <c r="AB433" i="3"/>
  <c r="Q433" i="3"/>
  <c r="R433" i="3"/>
  <c r="R348" i="1" l="1"/>
  <c r="I350" i="3"/>
  <c r="S433" i="3"/>
  <c r="T431" i="1"/>
  <c r="S348" i="1" l="1"/>
  <c r="K350" i="3"/>
  <c r="P431" i="1"/>
  <c r="T433" i="3"/>
  <c r="AD433" i="3"/>
  <c r="AC434" i="3" s="1"/>
  <c r="L350" i="3" l="1"/>
  <c r="O350" i="3" s="1"/>
  <c r="X350" i="3" s="1"/>
  <c r="M350" i="3"/>
  <c r="V350" i="3" s="1"/>
  <c r="Q431" i="1"/>
  <c r="U433" i="3"/>
  <c r="N350" i="3" l="1"/>
  <c r="E351" i="3" s="1"/>
  <c r="D351" i="3"/>
  <c r="P434" i="3"/>
  <c r="W433" i="3"/>
  <c r="Q434" i="3"/>
  <c r="F351" i="3" l="1"/>
  <c r="G351" i="3" s="1"/>
  <c r="Y351" i="3"/>
  <c r="AB434" i="3"/>
  <c r="R434" i="3"/>
  <c r="T432" i="1" s="1"/>
  <c r="U349" i="1" l="1"/>
  <c r="H351" i="3"/>
  <c r="I351" i="3" s="1"/>
  <c r="S434" i="3"/>
  <c r="K351" i="3" l="1"/>
  <c r="S349" i="1"/>
  <c r="AA351" i="3"/>
  <c r="Z352" i="3" s="1"/>
  <c r="R349" i="1"/>
  <c r="P432" i="1"/>
  <c r="AD434" i="3"/>
  <c r="AC435" i="3" s="1"/>
  <c r="T434" i="3"/>
  <c r="Q432" i="1"/>
  <c r="U434" i="3"/>
  <c r="L351" i="3" l="1"/>
  <c r="O351" i="3" s="1"/>
  <c r="X351" i="3" s="1"/>
  <c r="M351" i="3"/>
  <c r="P435" i="3"/>
  <c r="W434" i="3"/>
  <c r="V351" i="3" l="1"/>
  <c r="D352" i="3"/>
  <c r="N351" i="3"/>
  <c r="E352" i="3" s="1"/>
  <c r="Q435" i="3"/>
  <c r="AB435" i="3"/>
  <c r="R435" i="3"/>
  <c r="Y352" i="3" l="1"/>
  <c r="F352" i="3"/>
  <c r="G352" i="3" s="1"/>
  <c r="S435" i="3"/>
  <c r="T435" i="3" s="1"/>
  <c r="T433" i="1"/>
  <c r="AA352" i="3" l="1"/>
  <c r="Z353" i="3" s="1"/>
  <c r="H352" i="3"/>
  <c r="U350" i="1"/>
  <c r="U435" i="3"/>
  <c r="Q433" i="1"/>
  <c r="P433" i="1"/>
  <c r="AD435" i="3"/>
  <c r="AC436" i="3" s="1"/>
  <c r="R350" i="1" l="1"/>
  <c r="I352" i="3"/>
  <c r="P436" i="3"/>
  <c r="W435" i="3"/>
  <c r="S350" i="1" l="1"/>
  <c r="K352" i="3"/>
  <c r="L352" i="3" s="1"/>
  <c r="O352" i="3" s="1"/>
  <c r="X352" i="3" s="1"/>
  <c r="M352" i="3"/>
  <c r="R436" i="3"/>
  <c r="T434" i="1" s="1"/>
  <c r="AB436" i="3"/>
  <c r="Q436" i="3"/>
  <c r="D353" i="3" l="1"/>
  <c r="N352" i="3"/>
  <c r="E353" i="3" s="1"/>
  <c r="V352" i="3"/>
  <c r="S436" i="3"/>
  <c r="AD436" i="3" s="1"/>
  <c r="AC437" i="3" s="1"/>
  <c r="Y353" i="3" l="1"/>
  <c r="G353" i="3" s="1"/>
  <c r="F353" i="3"/>
  <c r="P434" i="1"/>
  <c r="T436" i="3"/>
  <c r="U351" i="1" l="1"/>
  <c r="H353" i="3"/>
  <c r="Q434" i="1"/>
  <c r="U436" i="3"/>
  <c r="AA353" i="3" l="1"/>
  <c r="Z354" i="3" s="1"/>
  <c r="R351" i="1"/>
  <c r="I353" i="3"/>
  <c r="P437" i="3"/>
  <c r="W436" i="3"/>
  <c r="R437" i="3"/>
  <c r="AB437" i="3"/>
  <c r="Q437" i="3"/>
  <c r="K353" i="3" l="1"/>
  <c r="S351" i="1"/>
  <c r="T435" i="1"/>
  <c r="S437" i="3"/>
  <c r="T437" i="3" s="1"/>
  <c r="L353" i="3" l="1"/>
  <c r="O353" i="3" s="1"/>
  <c r="X353" i="3" s="1"/>
  <c r="M353" i="3"/>
  <c r="U437" i="3"/>
  <c r="W437" i="3" s="1"/>
  <c r="Q435" i="1"/>
  <c r="P435" i="1"/>
  <c r="AD437" i="3"/>
  <c r="AC438" i="3" s="1"/>
  <c r="V353" i="3" l="1"/>
  <c r="N353" i="3"/>
  <c r="E354" i="3" s="1"/>
  <c r="M35" i="1"/>
  <c r="D354" i="3"/>
  <c r="P438" i="3"/>
  <c r="L40" i="1"/>
  <c r="Y354" i="3" l="1"/>
  <c r="F354" i="3"/>
  <c r="G354" i="3" s="1"/>
  <c r="R438" i="3"/>
  <c r="Q438" i="3"/>
  <c r="AB438" i="3"/>
  <c r="U352" i="1" l="1"/>
  <c r="H354" i="3"/>
  <c r="I354" i="3" s="1"/>
  <c r="T436" i="1"/>
  <c r="S438" i="3"/>
  <c r="K354" i="3" l="1"/>
  <c r="S352" i="1"/>
  <c r="AA354" i="3"/>
  <c r="Z355" i="3" s="1"/>
  <c r="R352" i="1"/>
  <c r="P436" i="1"/>
  <c r="T438" i="3"/>
  <c r="AD438" i="3"/>
  <c r="AC439" i="3" s="1"/>
  <c r="L354" i="3" l="1"/>
  <c r="O354" i="3" s="1"/>
  <c r="X354" i="3" s="1"/>
  <c r="M354" i="3"/>
  <c r="Q436" i="1"/>
  <c r="U438" i="3"/>
  <c r="V354" i="3" l="1"/>
  <c r="D355" i="3"/>
  <c r="N354" i="3"/>
  <c r="E355" i="3" s="1"/>
  <c r="P439" i="3"/>
  <c r="W438" i="3"/>
  <c r="F355" i="3" l="1"/>
  <c r="G355" i="3" s="1"/>
  <c r="Y355" i="3"/>
  <c r="AB439" i="3"/>
  <c r="S439" i="3" s="1"/>
  <c r="Q439" i="3"/>
  <c r="R439" i="3"/>
  <c r="I355" i="3" l="1"/>
  <c r="U353" i="1"/>
  <c r="AA355" i="3"/>
  <c r="Z356" i="3" s="1"/>
  <c r="H355" i="3"/>
  <c r="R353" i="1" s="1"/>
  <c r="P437" i="1"/>
  <c r="AD439" i="3"/>
  <c r="AC440" i="3" s="1"/>
  <c r="T439" i="3"/>
  <c r="T437" i="1"/>
  <c r="K355" i="3" l="1"/>
  <c r="S353" i="1"/>
  <c r="U439" i="3"/>
  <c r="Q437" i="1"/>
  <c r="M355" i="3" l="1"/>
  <c r="L355" i="3"/>
  <c r="O355" i="3" s="1"/>
  <c r="X355" i="3" s="1"/>
  <c r="P440" i="3"/>
  <c r="W439" i="3"/>
  <c r="D356" i="3" l="1"/>
  <c r="N355" i="3"/>
  <c r="E356" i="3" s="1"/>
  <c r="V355" i="3"/>
  <c r="AB440" i="3"/>
  <c r="R440" i="3"/>
  <c r="Q440" i="3"/>
  <c r="F356" i="3" l="1"/>
  <c r="G356" i="3" s="1"/>
  <c r="Y356" i="3"/>
  <c r="H356" i="3" s="1"/>
  <c r="S440" i="3"/>
  <c r="T438" i="1"/>
  <c r="U354" i="1" l="1"/>
  <c r="I356" i="3"/>
  <c r="AA356" i="3"/>
  <c r="Z357" i="3" s="1"/>
  <c r="R354" i="1"/>
  <c r="P438" i="1"/>
  <c r="AD440" i="3"/>
  <c r="AC441" i="3" s="1"/>
  <c r="T440" i="3"/>
  <c r="K356" i="3" l="1"/>
  <c r="S354" i="1"/>
  <c r="Q438" i="1"/>
  <c r="U440" i="3"/>
  <c r="M356" i="3" l="1"/>
  <c r="L356" i="3"/>
  <c r="O356" i="3" s="1"/>
  <c r="X356" i="3" s="1"/>
  <c r="D357" i="3"/>
  <c r="P441" i="3"/>
  <c r="W440" i="3"/>
  <c r="N356" i="3" l="1"/>
  <c r="E357" i="3" s="1"/>
  <c r="V356" i="3"/>
  <c r="Y357" i="3"/>
  <c r="F357" i="3"/>
  <c r="R441" i="3"/>
  <c r="AB441" i="3"/>
  <c r="Q441" i="3"/>
  <c r="G357" i="3" l="1"/>
  <c r="T439" i="1"/>
  <c r="S441" i="3"/>
  <c r="T441" i="3" s="1"/>
  <c r="U355" i="1" l="1"/>
  <c r="H357" i="3"/>
  <c r="U441" i="3"/>
  <c r="Q439" i="1"/>
  <c r="P439" i="1"/>
  <c r="AD441" i="3"/>
  <c r="AC442" i="3" s="1"/>
  <c r="AA357" i="3" l="1"/>
  <c r="Z358" i="3" s="1"/>
  <c r="R355" i="1"/>
  <c r="I357" i="3"/>
  <c r="K357" i="3"/>
  <c r="L357" i="3" s="1"/>
  <c r="O357" i="3" s="1"/>
  <c r="X357" i="3" s="1"/>
  <c r="P442" i="3"/>
  <c r="W441" i="3"/>
  <c r="S355" i="1" l="1"/>
  <c r="M357" i="3"/>
  <c r="V357" i="3"/>
  <c r="D358" i="3"/>
  <c r="F358" i="3" s="1"/>
  <c r="N357" i="3"/>
  <c r="E358" i="3" s="1"/>
  <c r="Y358" i="3"/>
  <c r="Q442" i="3"/>
  <c r="R442" i="3"/>
  <c r="AB442" i="3"/>
  <c r="S442" i="3" s="1"/>
  <c r="G358" i="3" l="1"/>
  <c r="T442" i="3"/>
  <c r="T440" i="1"/>
  <c r="P440" i="1"/>
  <c r="AD442" i="3"/>
  <c r="AC443" i="3" s="1"/>
  <c r="U356" i="1" l="1"/>
  <c r="H358" i="3"/>
  <c r="U442" i="3"/>
  <c r="Q440" i="1"/>
  <c r="AA358" i="3" l="1"/>
  <c r="Z359" i="3" s="1"/>
  <c r="R356" i="1"/>
  <c r="I358" i="3"/>
  <c r="P443" i="3"/>
  <c r="W442" i="3"/>
  <c r="K358" i="3" l="1"/>
  <c r="S356" i="1"/>
  <c r="R443" i="3"/>
  <c r="T441" i="1" s="1"/>
  <c r="AB443" i="3"/>
  <c r="Q443" i="3"/>
  <c r="M358" i="3" l="1"/>
  <c r="L358" i="3"/>
  <c r="O358" i="3" s="1"/>
  <c r="X358" i="3" s="1"/>
  <c r="V358" i="3"/>
  <c r="N358" i="3"/>
  <c r="E359" i="3" s="1"/>
  <c r="D359" i="3"/>
  <c r="S443" i="3"/>
  <c r="AD443" i="3" s="1"/>
  <c r="AC444" i="3" s="1"/>
  <c r="Y359" i="3" l="1"/>
  <c r="F359" i="3"/>
  <c r="P441" i="1"/>
  <c r="T443" i="3"/>
  <c r="G359" i="3" l="1"/>
  <c r="U443" i="3"/>
  <c r="Q441" i="1"/>
  <c r="U357" i="1" l="1"/>
  <c r="H359" i="3"/>
  <c r="P444" i="3"/>
  <c r="W443" i="3"/>
  <c r="AA359" i="3" l="1"/>
  <c r="Z360" i="3" s="1"/>
  <c r="I359" i="3"/>
  <c r="R357" i="1"/>
  <c r="K359" i="3"/>
  <c r="S357" i="1"/>
  <c r="Q444" i="3"/>
  <c r="AB444" i="3"/>
  <c r="R444" i="3"/>
  <c r="L359" i="3" l="1"/>
  <c r="O359" i="3" s="1"/>
  <c r="X359" i="3" s="1"/>
  <c r="M359" i="3"/>
  <c r="S444" i="3"/>
  <c r="T442" i="1"/>
  <c r="V359" i="3" l="1"/>
  <c r="N359" i="3"/>
  <c r="E360" i="3" s="1"/>
  <c r="D360" i="3"/>
  <c r="P442" i="1"/>
  <c r="T444" i="3"/>
  <c r="AD444" i="3"/>
  <c r="AC445" i="3" s="1"/>
  <c r="Y360" i="3" l="1"/>
  <c r="F360" i="3"/>
  <c r="Q442" i="1"/>
  <c r="U444" i="3"/>
  <c r="G360" i="3" l="1"/>
  <c r="P445" i="3"/>
  <c r="W444" i="3"/>
  <c r="U358" i="1" l="1"/>
  <c r="H360" i="3"/>
  <c r="AB445" i="3"/>
  <c r="Q445" i="3"/>
  <c r="R445" i="3"/>
  <c r="R358" i="1" l="1"/>
  <c r="AA360" i="3"/>
  <c r="Z361" i="3" s="1"/>
  <c r="I360" i="3"/>
  <c r="S358" i="1"/>
  <c r="K360" i="3"/>
  <c r="S445" i="3"/>
  <c r="T443" i="1"/>
  <c r="L360" i="3" l="1"/>
  <c r="O360" i="3" s="1"/>
  <c r="X360" i="3" s="1"/>
  <c r="M360" i="3"/>
  <c r="P443" i="1"/>
  <c r="AD445" i="3"/>
  <c r="AC446" i="3" s="1"/>
  <c r="T445" i="3"/>
  <c r="D361" i="3" l="1"/>
  <c r="Y361" i="3" s="1"/>
  <c r="N360" i="3"/>
  <c r="E361" i="3" s="1"/>
  <c r="V360" i="3"/>
  <c r="F361" i="3"/>
  <c r="U445" i="3"/>
  <c r="Q443" i="1"/>
  <c r="G361" i="3" l="1"/>
  <c r="P446" i="3"/>
  <c r="W445" i="3"/>
  <c r="Q446" i="3"/>
  <c r="U359" i="1" l="1"/>
  <c r="H361" i="3"/>
  <c r="AA361" i="3" s="1"/>
  <c r="Z362" i="3" s="1"/>
  <c r="R359" i="1"/>
  <c r="I361" i="3"/>
  <c r="R446" i="3"/>
  <c r="T444" i="1" s="1"/>
  <c r="AB446" i="3"/>
  <c r="S446" i="3" l="1"/>
  <c r="T446" i="3" s="1"/>
  <c r="K361" i="3"/>
  <c r="S359" i="1"/>
  <c r="AD446" i="3" l="1"/>
  <c r="AC447" i="3" s="1"/>
  <c r="P444" i="1"/>
  <c r="Q444" i="1"/>
  <c r="U446" i="3"/>
  <c r="L361" i="3"/>
  <c r="O361" i="3" s="1"/>
  <c r="X361" i="3" s="1"/>
  <c r="M361" i="3"/>
  <c r="P447" i="3" l="1"/>
  <c r="Q447" i="3" s="1"/>
  <c r="W446" i="3"/>
  <c r="V361" i="3"/>
  <c r="D362" i="3"/>
  <c r="N361" i="3"/>
  <c r="E362" i="3" s="1"/>
  <c r="AB447" i="3" l="1"/>
  <c r="R447" i="3"/>
  <c r="T445" i="1" s="1"/>
  <c r="F362" i="3"/>
  <c r="G362" i="3" s="1"/>
  <c r="Y362" i="3"/>
  <c r="S447" i="3" l="1"/>
  <c r="AD447" i="3" s="1"/>
  <c r="AC448" i="3" s="1"/>
  <c r="U360" i="1"/>
  <c r="H362" i="3"/>
  <c r="I362" i="3" s="1"/>
  <c r="P445" i="1" l="1"/>
  <c r="T447" i="3"/>
  <c r="S360" i="1"/>
  <c r="K362" i="3"/>
  <c r="AA362" i="3"/>
  <c r="Z363" i="3" s="1"/>
  <c r="R360" i="1"/>
  <c r="Q445" i="1" l="1"/>
  <c r="U447" i="3"/>
  <c r="L362" i="3"/>
  <c r="O362" i="3" s="1"/>
  <c r="X362" i="3" s="1"/>
  <c r="M362" i="3"/>
  <c r="W447" i="3" l="1"/>
  <c r="P448" i="3"/>
  <c r="V362" i="3"/>
  <c r="N362" i="3"/>
  <c r="E363" i="3" s="1"/>
  <c r="D363" i="3"/>
  <c r="R448" i="3" l="1"/>
  <c r="Q448" i="3"/>
  <c r="AB448" i="3"/>
  <c r="F363" i="3"/>
  <c r="Y363" i="3"/>
  <c r="S448" i="3" l="1"/>
  <c r="G363" i="3"/>
  <c r="T446" i="1"/>
  <c r="T448" i="3" l="1"/>
  <c r="Q446" i="1" s="1"/>
  <c r="P446" i="1"/>
  <c r="AD448" i="3"/>
  <c r="AC449" i="3" s="1"/>
  <c r="H363" i="3"/>
  <c r="I363" i="3" s="1"/>
  <c r="U361" i="1"/>
  <c r="U448" i="3"/>
  <c r="AA363" i="3"/>
  <c r="Z364" i="3" s="1"/>
  <c r="R361" i="1"/>
  <c r="K363" i="3" l="1"/>
  <c r="L363" i="3" s="1"/>
  <c r="O363" i="3" s="1"/>
  <c r="X363" i="3" s="1"/>
  <c r="S361" i="1"/>
  <c r="W448" i="3"/>
  <c r="P449" i="3"/>
  <c r="M363" i="3" l="1"/>
  <c r="V363" i="3" s="1"/>
  <c r="AB449" i="3"/>
  <c r="R449" i="3"/>
  <c r="Q449" i="3"/>
  <c r="N363" i="3" l="1"/>
  <c r="E364" i="3" s="1"/>
  <c r="D364" i="3"/>
  <c r="S449" i="3"/>
  <c r="T447" i="1"/>
  <c r="Y364" i="3" l="1"/>
  <c r="F364" i="3"/>
  <c r="G364" i="3" s="1"/>
  <c r="U362" i="1" s="1"/>
  <c r="P447" i="1"/>
  <c r="T449" i="3"/>
  <c r="AD449" i="3"/>
  <c r="AC450" i="3" s="1"/>
  <c r="H364" i="3" l="1"/>
  <c r="U449" i="3"/>
  <c r="W449" i="3" s="1"/>
  <c r="Q447" i="1"/>
  <c r="AA364" i="3" l="1"/>
  <c r="Z365" i="3" s="1"/>
  <c r="R362" i="1"/>
  <c r="I364" i="3"/>
  <c r="L41" i="1"/>
  <c r="P450" i="3"/>
  <c r="K364" i="3" l="1"/>
  <c r="S362" i="1"/>
  <c r="AB450" i="3"/>
  <c r="Q450" i="3"/>
  <c r="R450" i="3"/>
  <c r="L364" i="3" l="1"/>
  <c r="O364" i="3" s="1"/>
  <c r="X364" i="3" s="1"/>
  <c r="M364" i="3"/>
  <c r="V364" i="3" s="1"/>
  <c r="S450" i="3"/>
  <c r="T448" i="1"/>
  <c r="N364" i="3" l="1"/>
  <c r="E365" i="3" s="1"/>
  <c r="D365" i="3"/>
  <c r="P448" i="1"/>
  <c r="AD450" i="3"/>
  <c r="AC451" i="3" s="1"/>
  <c r="T450" i="3"/>
  <c r="F365" i="3" l="1"/>
  <c r="G365" i="3" s="1"/>
  <c r="Y365" i="3"/>
  <c r="Q448" i="1"/>
  <c r="U450" i="3"/>
  <c r="U363" i="1" l="1"/>
  <c r="H365" i="3"/>
  <c r="I365" i="3" s="1"/>
  <c r="P451" i="3"/>
  <c r="W450" i="3"/>
  <c r="S363" i="1" l="1"/>
  <c r="K365" i="3"/>
  <c r="M365" i="3" s="1"/>
  <c r="AA365" i="3"/>
  <c r="Z366" i="3" s="1"/>
  <c r="R363" i="1"/>
  <c r="Q451" i="3"/>
  <c r="AB451" i="3"/>
  <c r="R451" i="3"/>
  <c r="D366" i="3" l="1"/>
  <c r="N365" i="3"/>
  <c r="E366" i="3" s="1"/>
  <c r="M36" i="1"/>
  <c r="V365" i="3"/>
  <c r="L365" i="3"/>
  <c r="O365" i="3" s="1"/>
  <c r="X365" i="3" s="1"/>
  <c r="S451" i="3"/>
  <c r="T451" i="3" s="1"/>
  <c r="T449" i="1"/>
  <c r="Y366" i="3" l="1"/>
  <c r="F366" i="3"/>
  <c r="G366" i="3" s="1"/>
  <c r="U451" i="3"/>
  <c r="Q449" i="1"/>
  <c r="P449" i="1"/>
  <c r="AD451" i="3"/>
  <c r="AC452" i="3" s="1"/>
  <c r="H366" i="3" l="1"/>
  <c r="I366" i="3" s="1"/>
  <c r="U364" i="1"/>
  <c r="P452" i="3"/>
  <c r="AB452" i="3" s="1"/>
  <c r="W451" i="3"/>
  <c r="R452" i="3"/>
  <c r="Q452" i="3"/>
  <c r="AA366" i="3" l="1"/>
  <c r="Z367" i="3" s="1"/>
  <c r="R364" i="1"/>
  <c r="S364" i="1"/>
  <c r="K366" i="3"/>
  <c r="T450" i="1"/>
  <c r="S452" i="3"/>
  <c r="P450" i="1" l="1"/>
  <c r="T452" i="3"/>
  <c r="AD452" i="3"/>
  <c r="AC453" i="3" s="1"/>
  <c r="M366" i="3"/>
  <c r="L366" i="3"/>
  <c r="O366" i="3" s="1"/>
  <c r="X366" i="3" s="1"/>
  <c r="Q450" i="1"/>
  <c r="U452" i="3"/>
  <c r="N366" i="3" l="1"/>
  <c r="E367" i="3" s="1"/>
  <c r="D367" i="3"/>
  <c r="V366" i="3"/>
  <c r="W452" i="3"/>
  <c r="P453" i="3"/>
  <c r="F367" i="3" l="1"/>
  <c r="Y367" i="3"/>
  <c r="AB453" i="3"/>
  <c r="Q453" i="3"/>
  <c r="R453" i="3"/>
  <c r="G367" i="3" l="1"/>
  <c r="S453" i="3"/>
  <c r="AD453" i="3" s="1"/>
  <c r="AC454" i="3" s="1"/>
  <c r="T451" i="1"/>
  <c r="U365" i="1" l="1"/>
  <c r="H367" i="3"/>
  <c r="I367" i="3" s="1"/>
  <c r="P451" i="1"/>
  <c r="T453" i="3"/>
  <c r="S365" i="1" l="1"/>
  <c r="K367" i="3"/>
  <c r="AA367" i="3"/>
  <c r="Z368" i="3" s="1"/>
  <c r="R365" i="1"/>
  <c r="U453" i="3"/>
  <c r="Q451" i="1"/>
  <c r="M367" i="3" l="1"/>
  <c r="L367" i="3"/>
  <c r="O367" i="3" s="1"/>
  <c r="X367" i="3" s="1"/>
  <c r="P454" i="3"/>
  <c r="W453" i="3"/>
  <c r="D368" i="3" l="1"/>
  <c r="N367" i="3"/>
  <c r="E368" i="3" s="1"/>
  <c r="V367" i="3"/>
  <c r="R454" i="3"/>
  <c r="Q454" i="3"/>
  <c r="AB454" i="3"/>
  <c r="Y368" i="3" l="1"/>
  <c r="F368" i="3"/>
  <c r="T452" i="1"/>
  <c r="S454" i="3"/>
  <c r="AD454" i="3"/>
  <c r="AC455" i="3" s="1"/>
  <c r="P452" i="1" l="1"/>
  <c r="T454" i="3"/>
  <c r="W454" i="3" s="1"/>
  <c r="G368" i="3"/>
  <c r="Q452" i="1"/>
  <c r="U454" i="3"/>
  <c r="P455" i="3" s="1"/>
  <c r="U366" i="1" l="1"/>
  <c r="H368" i="3"/>
  <c r="R455" i="3"/>
  <c r="AB455" i="3"/>
  <c r="S455" i="3" s="1"/>
  <c r="T455" i="3" s="1"/>
  <c r="Q455" i="3"/>
  <c r="T453" i="1"/>
  <c r="I368" i="3" l="1"/>
  <c r="AA368" i="3"/>
  <c r="Z369" i="3" s="1"/>
  <c r="R366" i="1"/>
  <c r="AD455" i="3"/>
  <c r="AC456" i="3" s="1"/>
  <c r="P453" i="1"/>
  <c r="Q453" i="1"/>
  <c r="U455" i="3"/>
  <c r="S366" i="1" l="1"/>
  <c r="K368" i="3"/>
  <c r="W455" i="3"/>
  <c r="P456" i="3"/>
  <c r="Q456" i="3"/>
  <c r="M368" i="3" l="1"/>
  <c r="L368" i="3"/>
  <c r="O368" i="3" s="1"/>
  <c r="X368" i="3" s="1"/>
  <c r="AB456" i="3"/>
  <c r="R456" i="3"/>
  <c r="T454" i="1" s="1"/>
  <c r="N368" i="3" l="1"/>
  <c r="E369" i="3" s="1"/>
  <c r="D369" i="3"/>
  <c r="V368" i="3"/>
  <c r="S456" i="3"/>
  <c r="Y369" i="3" l="1"/>
  <c r="F369" i="3"/>
  <c r="G369" i="3" s="1"/>
  <c r="AD456" i="3"/>
  <c r="AC457" i="3" s="1"/>
  <c r="P454" i="1"/>
  <c r="T456" i="3"/>
  <c r="U456" i="3"/>
  <c r="Q454" i="1"/>
  <c r="H369" i="3" l="1"/>
  <c r="U367" i="1"/>
  <c r="I369" i="3"/>
  <c r="P457" i="3"/>
  <c r="W456" i="3"/>
  <c r="K369" i="3" l="1"/>
  <c r="S367" i="1"/>
  <c r="AA369" i="3"/>
  <c r="Z370" i="3" s="1"/>
  <c r="R367" i="1"/>
  <c r="L369" i="3"/>
  <c r="O369" i="3" s="1"/>
  <c r="X369" i="3" s="1"/>
  <c r="M369" i="3"/>
  <c r="Q457" i="3"/>
  <c r="AB457" i="3"/>
  <c r="R457" i="3"/>
  <c r="T455" i="1" s="1"/>
  <c r="S457" i="3" l="1"/>
  <c r="P455" i="1" s="1"/>
  <c r="N369" i="3"/>
  <c r="E370" i="3" s="1"/>
  <c r="D370" i="3"/>
  <c r="V369" i="3"/>
  <c r="AD457" i="3" l="1"/>
  <c r="AC458" i="3" s="1"/>
  <c r="T457" i="3"/>
  <c r="F370" i="3"/>
  <c r="G370" i="3" s="1"/>
  <c r="Y370" i="3"/>
  <c r="Q455" i="1" l="1"/>
  <c r="U457" i="3"/>
  <c r="U368" i="1"/>
  <c r="H370" i="3"/>
  <c r="P458" i="3" l="1"/>
  <c r="W457" i="3"/>
  <c r="R368" i="1"/>
  <c r="I370" i="3"/>
  <c r="AA370" i="3"/>
  <c r="Z371" i="3" s="1"/>
  <c r="Q458" i="3" l="1"/>
  <c r="AB458" i="3"/>
  <c r="R458" i="3"/>
  <c r="T456" i="1" s="1"/>
  <c r="S368" i="1"/>
  <c r="K370" i="3"/>
  <c r="S458" i="3" l="1"/>
  <c r="AD458" i="3" s="1"/>
  <c r="AC459" i="3" s="1"/>
  <c r="L370" i="3"/>
  <c r="O370" i="3" s="1"/>
  <c r="X370" i="3" s="1"/>
  <c r="M370" i="3"/>
  <c r="V370" i="3" s="1"/>
  <c r="T458" i="3" l="1"/>
  <c r="P456" i="1"/>
  <c r="N370" i="3"/>
  <c r="E371" i="3" s="1"/>
  <c r="D371" i="3"/>
  <c r="U458" i="3" l="1"/>
  <c r="Q456" i="1"/>
  <c r="Y371" i="3"/>
  <c r="F371" i="3"/>
  <c r="G371" i="3" s="1"/>
  <c r="W458" i="3" l="1"/>
  <c r="P459" i="3"/>
  <c r="AA371" i="3"/>
  <c r="Z372" i="3" s="1"/>
  <c r="H371" i="3"/>
  <c r="U369" i="1"/>
  <c r="R459" i="3" l="1"/>
  <c r="T457" i="1" s="1"/>
  <c r="Q459" i="3"/>
  <c r="AB459" i="3"/>
  <c r="R369" i="1"/>
  <c r="I371" i="3"/>
  <c r="S369" i="1" s="1"/>
  <c r="K371" i="3"/>
  <c r="M371" i="3" s="1"/>
  <c r="S459" i="3" l="1"/>
  <c r="AD459" i="3"/>
  <c r="AC460" i="3" s="1"/>
  <c r="N371" i="3"/>
  <c r="E372" i="3" s="1"/>
  <c r="D372" i="3"/>
  <c r="L371" i="3"/>
  <c r="O371" i="3" s="1"/>
  <c r="X371" i="3" s="1"/>
  <c r="V371" i="3"/>
  <c r="P457" i="1" l="1"/>
  <c r="T459" i="3"/>
  <c r="Y372" i="3"/>
  <c r="F372" i="3"/>
  <c r="G372" i="3" s="1"/>
  <c r="Q457" i="1" l="1"/>
  <c r="U459" i="3"/>
  <c r="H372" i="3"/>
  <c r="AA372" i="3" s="1"/>
  <c r="Z373" i="3" s="1"/>
  <c r="U370" i="1"/>
  <c r="W459" i="3" l="1"/>
  <c r="P460" i="3"/>
  <c r="R370" i="1"/>
  <c r="I372" i="3"/>
  <c r="AB460" i="3" l="1"/>
  <c r="R460" i="3"/>
  <c r="Q460" i="3"/>
  <c r="S370" i="1"/>
  <c r="K372" i="3"/>
  <c r="S460" i="3" l="1"/>
  <c r="T460" i="3"/>
  <c r="T458" i="1"/>
  <c r="L372" i="3"/>
  <c r="O372" i="3" s="1"/>
  <c r="X372" i="3" s="1"/>
  <c r="M372" i="3"/>
  <c r="V372" i="3" s="1"/>
  <c r="U460" i="3" l="1"/>
  <c r="Q458" i="1"/>
  <c r="P458" i="1"/>
  <c r="AD460" i="3"/>
  <c r="AC461" i="3" s="1"/>
  <c r="N372" i="3"/>
  <c r="E373" i="3" s="1"/>
  <c r="D373" i="3"/>
  <c r="W460" i="3" l="1"/>
  <c r="P461" i="3"/>
  <c r="F373" i="3"/>
  <c r="G373" i="3" s="1"/>
  <c r="Y373" i="3"/>
  <c r="R461" i="3" l="1"/>
  <c r="T459" i="1" s="1"/>
  <c r="AB461" i="3"/>
  <c r="Q461" i="3"/>
  <c r="U371" i="1"/>
  <c r="H373" i="3"/>
  <c r="S461" i="3" l="1"/>
  <c r="AD461" i="3" s="1"/>
  <c r="AC462" i="3" s="1"/>
  <c r="R371" i="1"/>
  <c r="I373" i="3"/>
  <c r="AA373" i="3"/>
  <c r="Z374" i="3" s="1"/>
  <c r="P459" i="1" l="1"/>
  <c r="T461" i="3"/>
  <c r="K373" i="3"/>
  <c r="S371" i="1"/>
  <c r="U461" i="3" l="1"/>
  <c r="Q459" i="1"/>
  <c r="L373" i="3"/>
  <c r="O373" i="3" s="1"/>
  <c r="X373" i="3" s="1"/>
  <c r="M373" i="3"/>
  <c r="V373" i="3" s="1"/>
  <c r="L42" i="1" l="1"/>
  <c r="P462" i="3"/>
  <c r="W461" i="3"/>
  <c r="N373" i="3"/>
  <c r="E374" i="3" s="1"/>
  <c r="D374" i="3"/>
  <c r="AB462" i="3" l="1"/>
  <c r="R462" i="3"/>
  <c r="Q462" i="3"/>
  <c r="F374" i="3"/>
  <c r="G374" i="3" s="1"/>
  <c r="U372" i="1" s="1"/>
  <c r="Y374" i="3"/>
  <c r="S462" i="3" l="1"/>
  <c r="T460" i="1"/>
  <c r="H374" i="3"/>
  <c r="P460" i="1" l="1"/>
  <c r="T462" i="3"/>
  <c r="AD462" i="3"/>
  <c r="AC463" i="3" s="1"/>
  <c r="R372" i="1"/>
  <c r="AA374" i="3"/>
  <c r="Z375" i="3" s="1"/>
  <c r="I374" i="3"/>
  <c r="Q460" i="1" l="1"/>
  <c r="U462" i="3"/>
  <c r="P463" i="3" s="1"/>
  <c r="W462" i="3"/>
  <c r="K374" i="3"/>
  <c r="M374" i="3" s="1"/>
  <c r="S372" i="1"/>
  <c r="Q463" i="3" l="1"/>
  <c r="R463" i="3"/>
  <c r="T461" i="1" s="1"/>
  <c r="AB463" i="3"/>
  <c r="D375" i="3"/>
  <c r="N374" i="3"/>
  <c r="E375" i="3" s="1"/>
  <c r="V374" i="3"/>
  <c r="L374" i="3"/>
  <c r="O374" i="3" s="1"/>
  <c r="X374" i="3" s="1"/>
  <c r="S463" i="3" l="1"/>
  <c r="AD463" i="3" s="1"/>
  <c r="AC464" i="3" s="1"/>
  <c r="Y375" i="3"/>
  <c r="F375" i="3"/>
  <c r="P461" i="1" l="1"/>
  <c r="T463" i="3"/>
  <c r="G375" i="3"/>
  <c r="U463" i="3" l="1"/>
  <c r="Q461" i="1"/>
  <c r="H375" i="3"/>
  <c r="U373" i="1"/>
  <c r="P464" i="3" l="1"/>
  <c r="W463" i="3"/>
  <c r="R464" i="3"/>
  <c r="AB464" i="3"/>
  <c r="Q464" i="3"/>
  <c r="I375" i="3"/>
  <c r="R373" i="1"/>
  <c r="AA375" i="3"/>
  <c r="Z376" i="3" s="1"/>
  <c r="T464" i="3" l="1"/>
  <c r="T462" i="1"/>
  <c r="S464" i="3"/>
  <c r="S373" i="1"/>
  <c r="K375" i="3"/>
  <c r="P462" i="1" l="1"/>
  <c r="AD464" i="3"/>
  <c r="AC465" i="3" s="1"/>
  <c r="U464" i="3"/>
  <c r="Q462" i="1"/>
  <c r="L375" i="3"/>
  <c r="O375" i="3" s="1"/>
  <c r="X375" i="3" s="1"/>
  <c r="M375" i="3"/>
  <c r="D376" i="3" s="1"/>
  <c r="W464" i="3" l="1"/>
  <c r="P465" i="3"/>
  <c r="N375" i="3"/>
  <c r="E376" i="3" s="1"/>
  <c r="V375" i="3"/>
  <c r="F376" i="3"/>
  <c r="Y376" i="3"/>
  <c r="AB465" i="3" l="1"/>
  <c r="Q465" i="3"/>
  <c r="R465" i="3"/>
  <c r="G376" i="3"/>
  <c r="S465" i="3" l="1"/>
  <c r="T463" i="1"/>
  <c r="U374" i="1"/>
  <c r="H376" i="3"/>
  <c r="R374" i="1" s="1"/>
  <c r="P463" i="1" l="1"/>
  <c r="AD465" i="3"/>
  <c r="AC466" i="3" s="1"/>
  <c r="T465" i="3"/>
  <c r="I376" i="3"/>
  <c r="AA376" i="3"/>
  <c r="Z377" i="3" s="1"/>
  <c r="U465" i="3" l="1"/>
  <c r="Q463" i="1"/>
  <c r="K376" i="3"/>
  <c r="S374" i="1"/>
  <c r="W465" i="3" l="1"/>
  <c r="P466" i="3"/>
  <c r="L376" i="3"/>
  <c r="O376" i="3" s="1"/>
  <c r="X376" i="3" s="1"/>
  <c r="M376" i="3"/>
  <c r="AB466" i="3" l="1"/>
  <c r="S466" i="3" s="1"/>
  <c r="R466" i="3"/>
  <c r="T464" i="1" s="1"/>
  <c r="Q466" i="3"/>
  <c r="V376" i="3"/>
  <c r="N376" i="3"/>
  <c r="E377" i="3" s="1"/>
  <c r="D377" i="3"/>
  <c r="AD466" i="3" l="1"/>
  <c r="AC467" i="3" s="1"/>
  <c r="P464" i="1"/>
  <c r="T466" i="3"/>
  <c r="F377" i="3"/>
  <c r="Y377" i="3"/>
  <c r="G377" i="3" s="1"/>
  <c r="U466" i="3" l="1"/>
  <c r="Q464" i="1"/>
  <c r="H377" i="3"/>
  <c r="U375" i="1"/>
  <c r="P467" i="3" l="1"/>
  <c r="W466" i="3"/>
  <c r="I377" i="3"/>
  <c r="AA377" i="3"/>
  <c r="Z378" i="3" s="1"/>
  <c r="R375" i="1"/>
  <c r="R467" i="3" l="1"/>
  <c r="Q467" i="3"/>
  <c r="AB467" i="3"/>
  <c r="S375" i="1"/>
  <c r="K377" i="3"/>
  <c r="T465" i="1" l="1"/>
  <c r="S467" i="3"/>
  <c r="M377" i="3"/>
  <c r="L377" i="3"/>
  <c r="O377" i="3" s="1"/>
  <c r="X377" i="3" s="1"/>
  <c r="P465" i="1" l="1"/>
  <c r="AD467" i="3"/>
  <c r="AC468" i="3" s="1"/>
  <c r="T467" i="3"/>
  <c r="D378" i="3"/>
  <c r="Y378" i="3" s="1"/>
  <c r="G378" i="3" s="1"/>
  <c r="V377" i="3"/>
  <c r="M37" i="1"/>
  <c r="N377" i="3"/>
  <c r="E378" i="3" s="1"/>
  <c r="F378" i="3"/>
  <c r="Q465" i="1" l="1"/>
  <c r="U467" i="3"/>
  <c r="P468" i="3" s="1"/>
  <c r="W467" i="3"/>
  <c r="U376" i="1"/>
  <c r="H378" i="3"/>
  <c r="I378" i="3" s="1"/>
  <c r="Q468" i="3" l="1"/>
  <c r="AB468" i="3"/>
  <c r="S468" i="3" s="1"/>
  <c r="R468" i="3"/>
  <c r="S376" i="1"/>
  <c r="K378" i="3"/>
  <c r="R376" i="1"/>
  <c r="AA378" i="3"/>
  <c r="Z379" i="3" s="1"/>
  <c r="P466" i="1" l="1"/>
  <c r="AD468" i="3"/>
  <c r="AC469" i="3" s="1"/>
  <c r="T468" i="3"/>
  <c r="T466" i="1"/>
  <c r="M378" i="3"/>
  <c r="L378" i="3"/>
  <c r="O378" i="3" s="1"/>
  <c r="X378" i="3" s="1"/>
  <c r="U468" i="3" l="1"/>
  <c r="Q466" i="1"/>
  <c r="D379" i="3"/>
  <c r="N378" i="3"/>
  <c r="E379" i="3" s="1"/>
  <c r="V378" i="3"/>
  <c r="W468" i="3" l="1"/>
  <c r="P469" i="3"/>
  <c r="Y379" i="3"/>
  <c r="F379" i="3"/>
  <c r="G379" i="3" s="1"/>
  <c r="U377" i="1" s="1"/>
  <c r="Q469" i="3" l="1"/>
  <c r="AB469" i="3"/>
  <c r="R469" i="3"/>
  <c r="H379" i="3"/>
  <c r="S469" i="3" l="1"/>
  <c r="P467" i="1" s="1"/>
  <c r="AD469" i="3"/>
  <c r="AC470" i="3" s="1"/>
  <c r="T467" i="1"/>
  <c r="T469" i="3"/>
  <c r="AA379" i="3"/>
  <c r="Z380" i="3" s="1"/>
  <c r="R377" i="1"/>
  <c r="I379" i="3"/>
  <c r="U469" i="3" l="1"/>
  <c r="Q467" i="1"/>
  <c r="K379" i="3"/>
  <c r="M379" i="3" s="1"/>
  <c r="S377" i="1"/>
  <c r="W469" i="3" l="1"/>
  <c r="P470" i="3"/>
  <c r="Q470" i="3"/>
  <c r="R470" i="3"/>
  <c r="AB470" i="3"/>
  <c r="N379" i="3"/>
  <c r="E380" i="3" s="1"/>
  <c r="D380" i="3"/>
  <c r="V379" i="3"/>
  <c r="L379" i="3"/>
  <c r="O379" i="3" s="1"/>
  <c r="X379" i="3" s="1"/>
  <c r="S470" i="3" l="1"/>
  <c r="T470" i="3" s="1"/>
  <c r="T468" i="1"/>
  <c r="F380" i="3"/>
  <c r="G380" i="3" s="1"/>
  <c r="Y380" i="3"/>
  <c r="Q468" i="1" l="1"/>
  <c r="U470" i="3"/>
  <c r="AD470" i="3"/>
  <c r="AC471" i="3" s="1"/>
  <c r="P468" i="1"/>
  <c r="H380" i="3"/>
  <c r="I380" i="3" s="1"/>
  <c r="U378" i="1"/>
  <c r="P471" i="3" l="1"/>
  <c r="W470" i="3"/>
  <c r="AA380" i="3"/>
  <c r="Z381" i="3" s="1"/>
  <c r="R378" i="1"/>
  <c r="S378" i="1"/>
  <c r="K380" i="3"/>
  <c r="R471" i="3" l="1"/>
  <c r="T469" i="1" s="1"/>
  <c r="AB471" i="3"/>
  <c r="Q471" i="3"/>
  <c r="L380" i="3"/>
  <c r="O380" i="3" s="1"/>
  <c r="X380" i="3" s="1"/>
  <c r="M380" i="3"/>
  <c r="S471" i="3"/>
  <c r="P469" i="1" s="1"/>
  <c r="V380" i="3" l="1"/>
  <c r="N380" i="3"/>
  <c r="E381" i="3" s="1"/>
  <c r="D381" i="3"/>
  <c r="AD471" i="3"/>
  <c r="AC472" i="3" s="1"/>
  <c r="T471" i="3"/>
  <c r="F381" i="3" l="1"/>
  <c r="G381" i="3" s="1"/>
  <c r="Y381" i="3"/>
  <c r="Q469" i="1"/>
  <c r="U471" i="3"/>
  <c r="H381" i="3" l="1"/>
  <c r="W471" i="3"/>
  <c r="P472" i="3"/>
  <c r="U379" i="1"/>
  <c r="R379" i="1" l="1"/>
  <c r="I381" i="3"/>
  <c r="K381" i="3" s="1"/>
  <c r="AA381" i="3"/>
  <c r="Z382" i="3" s="1"/>
  <c r="Q472" i="3"/>
  <c r="AB472" i="3"/>
  <c r="R472" i="3"/>
  <c r="T470" i="1" s="1"/>
  <c r="S379" i="1"/>
  <c r="S472" i="3" l="1"/>
  <c r="L381" i="3"/>
  <c r="O381" i="3" s="1"/>
  <c r="X381" i="3" s="1"/>
  <c r="M381" i="3"/>
  <c r="V381" i="3" s="1"/>
  <c r="P470" i="1" l="1"/>
  <c r="AD472" i="3"/>
  <c r="AC473" i="3" s="1"/>
  <c r="T472" i="3"/>
  <c r="D382" i="3"/>
  <c r="N381" i="3"/>
  <c r="E382" i="3" s="1"/>
  <c r="U472" i="3" l="1"/>
  <c r="Q470" i="1"/>
  <c r="W472" i="3"/>
  <c r="P473" i="3"/>
  <c r="F382" i="3"/>
  <c r="G382" i="3" s="1"/>
  <c r="Y382" i="3"/>
  <c r="AB473" i="3" l="1"/>
  <c r="Q473" i="3"/>
  <c r="R473" i="3"/>
  <c r="U380" i="1"/>
  <c r="H382" i="3"/>
  <c r="T471" i="1" l="1"/>
  <c r="S473" i="3"/>
  <c r="T473" i="3"/>
  <c r="R380" i="1"/>
  <c r="I382" i="3"/>
  <c r="AA382" i="3"/>
  <c r="Z383" i="3" s="1"/>
  <c r="P471" i="1" l="1"/>
  <c r="AD473" i="3"/>
  <c r="AC474" i="3" s="1"/>
  <c r="U473" i="3"/>
  <c r="Q471" i="1"/>
  <c r="S380" i="1"/>
  <c r="K382" i="3"/>
  <c r="P474" i="3"/>
  <c r="W473" i="3" l="1"/>
  <c r="L43" i="1"/>
  <c r="L382" i="3"/>
  <c r="O382" i="3" s="1"/>
  <c r="X382" i="3" s="1"/>
  <c r="M382" i="3"/>
  <c r="R474" i="3"/>
  <c r="Q474" i="3"/>
  <c r="AB474" i="3"/>
  <c r="D383" i="3" l="1"/>
  <c r="N382" i="3"/>
  <c r="E383" i="3" s="1"/>
  <c r="V382" i="3"/>
  <c r="T472" i="1"/>
  <c r="S474" i="3"/>
  <c r="T474" i="3" s="1"/>
  <c r="Y383" i="3" l="1"/>
  <c r="F383" i="3"/>
  <c r="G383" i="3" s="1"/>
  <c r="U474" i="3"/>
  <c r="Q472" i="1"/>
  <c r="P472" i="1"/>
  <c r="AD474" i="3"/>
  <c r="AC475" i="3" s="1"/>
  <c r="U381" i="1" l="1"/>
  <c r="H383" i="3"/>
  <c r="I383" i="3" s="1"/>
  <c r="P475" i="3"/>
  <c r="W474" i="3"/>
  <c r="K383" i="3" l="1"/>
  <c r="S381" i="1"/>
  <c r="AA383" i="3"/>
  <c r="Z384" i="3" s="1"/>
  <c r="R381" i="1"/>
  <c r="Q475" i="3"/>
  <c r="R475" i="3"/>
  <c r="AB475" i="3"/>
  <c r="L383" i="3" l="1"/>
  <c r="O383" i="3" s="1"/>
  <c r="X383" i="3" s="1"/>
  <c r="M383" i="3"/>
  <c r="V383" i="3" s="1"/>
  <c r="T473" i="1"/>
  <c r="S475" i="3"/>
  <c r="D384" i="3" l="1"/>
  <c r="N383" i="3"/>
  <c r="E384" i="3" s="1"/>
  <c r="P473" i="1"/>
  <c r="AD475" i="3"/>
  <c r="AC476" i="3" s="1"/>
  <c r="T475" i="3"/>
  <c r="U475" i="3" s="1"/>
  <c r="Q473" i="1"/>
  <c r="F384" i="3" l="1"/>
  <c r="G384" i="3" s="1"/>
  <c r="Y384" i="3"/>
  <c r="P476" i="3"/>
  <c r="W475" i="3"/>
  <c r="U382" i="1" l="1"/>
  <c r="H384" i="3"/>
  <c r="AA384" i="3" s="1"/>
  <c r="Z385" i="3" s="1"/>
  <c r="R476" i="3"/>
  <c r="AB476" i="3"/>
  <c r="Q476" i="3"/>
  <c r="R382" i="1" l="1"/>
  <c r="I384" i="3"/>
  <c r="T474" i="1"/>
  <c r="S476" i="3"/>
  <c r="S382" i="1" l="1"/>
  <c r="K384" i="3"/>
  <c r="P474" i="1"/>
  <c r="T476" i="3"/>
  <c r="AD476" i="3"/>
  <c r="AC477" i="3" s="1"/>
  <c r="L384" i="3" l="1"/>
  <c r="O384" i="3" s="1"/>
  <c r="X384" i="3" s="1"/>
  <c r="M384" i="3"/>
  <c r="V384" i="3" s="1"/>
  <c r="Q474" i="1"/>
  <c r="U476" i="3"/>
  <c r="D385" i="3" l="1"/>
  <c r="N384" i="3"/>
  <c r="E385" i="3" s="1"/>
  <c r="P477" i="3"/>
  <c r="W476" i="3"/>
  <c r="F385" i="3" l="1"/>
  <c r="Y385" i="3"/>
  <c r="R477" i="3"/>
  <c r="T475" i="1" s="1"/>
  <c r="Q477" i="3"/>
  <c r="AB477" i="3"/>
  <c r="G385" i="3" l="1"/>
  <c r="H385" i="3" s="1"/>
  <c r="S477" i="3"/>
  <c r="AD477" i="3" s="1"/>
  <c r="AC478" i="3" s="1"/>
  <c r="I385" i="3" l="1"/>
  <c r="U383" i="1"/>
  <c r="AA385" i="3"/>
  <c r="Z386" i="3" s="1"/>
  <c r="R383" i="1"/>
  <c r="P475" i="1"/>
  <c r="T477" i="3"/>
  <c r="K385" i="3" l="1"/>
  <c r="S383" i="1"/>
  <c r="U477" i="3"/>
  <c r="Q475" i="1"/>
  <c r="L385" i="3" l="1"/>
  <c r="O385" i="3" s="1"/>
  <c r="X385" i="3" s="1"/>
  <c r="M385" i="3"/>
  <c r="V385" i="3" s="1"/>
  <c r="P478" i="3"/>
  <c r="W477" i="3"/>
  <c r="D386" i="3" l="1"/>
  <c r="N385" i="3"/>
  <c r="E386" i="3" s="1"/>
  <c r="AB478" i="3"/>
  <c r="R478" i="3"/>
  <c r="Q478" i="3"/>
  <c r="F386" i="3" l="1"/>
  <c r="G386" i="3"/>
  <c r="Y386" i="3"/>
  <c r="S478" i="3"/>
  <c r="T476" i="1"/>
  <c r="H386" i="3" l="1"/>
  <c r="U384" i="1"/>
  <c r="P476" i="1"/>
  <c r="AD478" i="3"/>
  <c r="AC479" i="3" s="1"/>
  <c r="T478" i="3"/>
  <c r="I386" i="3" l="1"/>
  <c r="R384" i="1"/>
  <c r="AA386" i="3"/>
  <c r="Z387" i="3" s="1"/>
  <c r="K386" i="3"/>
  <c r="S384" i="1"/>
  <c r="Q476" i="1"/>
  <c r="U478" i="3"/>
  <c r="L386" i="3" l="1"/>
  <c r="O386" i="3" s="1"/>
  <c r="X386" i="3" s="1"/>
  <c r="M386" i="3"/>
  <c r="V386" i="3" s="1"/>
  <c r="P479" i="3"/>
  <c r="W478" i="3"/>
  <c r="D387" i="3" l="1"/>
  <c r="N386" i="3"/>
  <c r="E387" i="3" s="1"/>
  <c r="Q479" i="3"/>
  <c r="R479" i="3"/>
  <c r="AB479" i="3"/>
  <c r="F387" i="3" l="1"/>
  <c r="G387" i="3" s="1"/>
  <c r="Y387" i="3"/>
  <c r="T477" i="1"/>
  <c r="S479" i="3"/>
  <c r="U385" i="1" l="1"/>
  <c r="H387" i="3"/>
  <c r="AA387" i="3" s="1"/>
  <c r="Z388" i="3" s="1"/>
  <c r="P477" i="1"/>
  <c r="T479" i="3"/>
  <c r="AD479" i="3"/>
  <c r="AC480" i="3" s="1"/>
  <c r="R385" i="1" l="1"/>
  <c r="I387" i="3"/>
  <c r="Q477" i="1"/>
  <c r="U479" i="3"/>
  <c r="S385" i="1" l="1"/>
  <c r="K387" i="3"/>
  <c r="P480" i="3"/>
  <c r="W479" i="3"/>
  <c r="Q480" i="3"/>
  <c r="M387" i="3" l="1"/>
  <c r="V387" i="3" s="1"/>
  <c r="L387" i="3"/>
  <c r="O387" i="3" s="1"/>
  <c r="X387" i="3" s="1"/>
  <c r="N387" i="3"/>
  <c r="E388" i="3" s="1"/>
  <c r="D388" i="3"/>
  <c r="AB480" i="3"/>
  <c r="R480" i="3"/>
  <c r="T478" i="1" s="1"/>
  <c r="S480" i="3" l="1"/>
  <c r="Y388" i="3"/>
  <c r="G388" i="3"/>
  <c r="F388" i="3"/>
  <c r="AD480" i="3" l="1"/>
  <c r="AC481" i="3" s="1"/>
  <c r="P478" i="1"/>
  <c r="T480" i="3"/>
  <c r="H388" i="3"/>
  <c r="AA388" i="3" s="1"/>
  <c r="Z389" i="3" s="1"/>
  <c r="U386" i="1"/>
  <c r="Q478" i="1" l="1"/>
  <c r="U480" i="3"/>
  <c r="R386" i="1"/>
  <c r="I388" i="3"/>
  <c r="P481" i="3" l="1"/>
  <c r="W480" i="3"/>
  <c r="S386" i="1"/>
  <c r="K388" i="3"/>
  <c r="Q481" i="3" l="1"/>
  <c r="R481" i="3"/>
  <c r="AB481" i="3"/>
  <c r="S481" i="3" s="1"/>
  <c r="L388" i="3"/>
  <c r="O388" i="3" s="1"/>
  <c r="X388" i="3" s="1"/>
  <c r="M388" i="3"/>
  <c r="V388" i="3" s="1"/>
  <c r="T479" i="1"/>
  <c r="D389" i="3" l="1"/>
  <c r="N388" i="3"/>
  <c r="E389" i="3" s="1"/>
  <c r="P479" i="1"/>
  <c r="T481" i="3"/>
  <c r="AD481" i="3"/>
  <c r="AC482" i="3" s="1"/>
  <c r="Y389" i="3" l="1"/>
  <c r="F389" i="3"/>
  <c r="G389" i="3" s="1"/>
  <c r="U481" i="3"/>
  <c r="Q479" i="1"/>
  <c r="H389" i="3" l="1"/>
  <c r="U387" i="1"/>
  <c r="W481" i="3"/>
  <c r="P482" i="3"/>
  <c r="Q482" i="3"/>
  <c r="R387" i="1" l="1"/>
  <c r="I389" i="3"/>
  <c r="AA389" i="3"/>
  <c r="Z390" i="3" s="1"/>
  <c r="R482" i="3"/>
  <c r="T480" i="1" s="1"/>
  <c r="AB482" i="3"/>
  <c r="S482" i="3" l="1"/>
  <c r="S387" i="1"/>
  <c r="K389" i="3"/>
  <c r="P480" i="1" l="1"/>
  <c r="T482" i="3"/>
  <c r="AD482" i="3"/>
  <c r="AC483" i="3" s="1"/>
  <c r="L389" i="3"/>
  <c r="O389" i="3" s="1"/>
  <c r="X389" i="3" s="1"/>
  <c r="M389" i="3"/>
  <c r="D390" i="3" s="1"/>
  <c r="M38" i="1" l="1"/>
  <c r="V389" i="3"/>
  <c r="N389" i="3"/>
  <c r="E390" i="3" s="1"/>
  <c r="Q480" i="1"/>
  <c r="U482" i="3"/>
  <c r="G390" i="3"/>
  <c r="U388" i="1" s="1"/>
  <c r="F390" i="3"/>
  <c r="Y390" i="3"/>
  <c r="P483" i="3" l="1"/>
  <c r="W482" i="3"/>
  <c r="H390" i="3"/>
  <c r="AA390" i="3" s="1"/>
  <c r="Z391" i="3" s="1"/>
  <c r="R483" i="3" l="1"/>
  <c r="T481" i="1" s="1"/>
  <c r="Q483" i="3"/>
  <c r="AB483" i="3"/>
  <c r="S483" i="3" s="1"/>
  <c r="R388" i="1"/>
  <c r="I390" i="3"/>
  <c r="K390" i="3" l="1"/>
  <c r="S388" i="1"/>
  <c r="T483" i="3"/>
  <c r="P481" i="1"/>
  <c r="AD483" i="3"/>
  <c r="AC484" i="3" s="1"/>
  <c r="Q481" i="1" l="1"/>
  <c r="U483" i="3"/>
  <c r="L390" i="3"/>
  <c r="O390" i="3" s="1"/>
  <c r="X390" i="3" s="1"/>
  <c r="M390" i="3"/>
  <c r="V390" i="3" s="1"/>
  <c r="P484" i="3" l="1"/>
  <c r="Q484" i="3" s="1"/>
  <c r="W483" i="3"/>
  <c r="D391" i="3"/>
  <c r="N390" i="3"/>
  <c r="E391" i="3" s="1"/>
  <c r="AB484" i="3" l="1"/>
  <c r="R484" i="3"/>
  <c r="F391" i="3"/>
  <c r="G391" i="3" s="1"/>
  <c r="U389" i="1" s="1"/>
  <c r="Y391" i="3"/>
  <c r="T482" i="1" l="1"/>
  <c r="S484" i="3"/>
  <c r="T484" i="3" s="1"/>
  <c r="H391" i="3"/>
  <c r="AA391" i="3" s="1"/>
  <c r="Z392" i="3" s="1"/>
  <c r="AD484" i="3" l="1"/>
  <c r="AC485" i="3" s="1"/>
  <c r="P482" i="1"/>
  <c r="R389" i="1"/>
  <c r="I391" i="3"/>
  <c r="Q482" i="1"/>
  <c r="U484" i="3"/>
  <c r="K391" i="3" l="1"/>
  <c r="S389" i="1"/>
  <c r="P485" i="3"/>
  <c r="W484" i="3"/>
  <c r="AB485" i="3" l="1"/>
  <c r="R485" i="3"/>
  <c r="Q485" i="3"/>
  <c r="L391" i="3"/>
  <c r="O391" i="3" s="1"/>
  <c r="X391" i="3" s="1"/>
  <c r="M391" i="3"/>
  <c r="T483" i="1" l="1"/>
  <c r="S485" i="3"/>
  <c r="AD485" i="3" s="1"/>
  <c r="AC486" i="3" s="1"/>
  <c r="N391" i="3"/>
  <c r="E392" i="3" s="1"/>
  <c r="D392" i="3"/>
  <c r="V391" i="3"/>
  <c r="T485" i="3" l="1"/>
  <c r="P483" i="1"/>
  <c r="Y392" i="3"/>
  <c r="G392" i="3"/>
  <c r="F392" i="3"/>
  <c r="Q483" i="1" l="1"/>
  <c r="U485" i="3"/>
  <c r="H392" i="3"/>
  <c r="U390" i="1"/>
  <c r="L44" i="1" l="1"/>
  <c r="W485" i="3"/>
  <c r="P486" i="3"/>
  <c r="AA392" i="3"/>
  <c r="Z393" i="3" s="1"/>
  <c r="I392" i="3"/>
  <c r="R390" i="1"/>
  <c r="Q486" i="3" l="1"/>
  <c r="AB486" i="3"/>
  <c r="R486" i="3"/>
  <c r="T484" i="1" s="1"/>
  <c r="K392" i="3"/>
  <c r="S390" i="1"/>
  <c r="M392" i="3" l="1"/>
  <c r="L392" i="3"/>
  <c r="O392" i="3" s="1"/>
  <c r="X392" i="3" s="1"/>
  <c r="S486" i="3"/>
  <c r="D393" i="3" l="1"/>
  <c r="N392" i="3"/>
  <c r="E393" i="3" s="1"/>
  <c r="V392" i="3"/>
  <c r="AD486" i="3"/>
  <c r="AC487" i="3" s="1"/>
  <c r="T486" i="3"/>
  <c r="P484" i="1"/>
  <c r="Y393" i="3"/>
  <c r="F393" i="3"/>
  <c r="G393" i="3" s="1"/>
  <c r="U391" i="1" s="1"/>
  <c r="U486" i="3" l="1"/>
  <c r="Q484" i="1"/>
  <c r="H393" i="3"/>
  <c r="AA393" i="3" s="1"/>
  <c r="Z394" i="3" s="1"/>
  <c r="W486" i="3" l="1"/>
  <c r="P487" i="3"/>
  <c r="R391" i="1"/>
  <c r="I393" i="3"/>
  <c r="R487" i="3" l="1"/>
  <c r="Q487" i="3"/>
  <c r="AB487" i="3"/>
  <c r="S487" i="3" s="1"/>
  <c r="K393" i="3"/>
  <c r="S391" i="1"/>
  <c r="T485" i="1" l="1"/>
  <c r="T487" i="3"/>
  <c r="AD487" i="3"/>
  <c r="AC488" i="3" s="1"/>
  <c r="P485" i="1"/>
  <c r="L393" i="3"/>
  <c r="O393" i="3" s="1"/>
  <c r="X393" i="3" s="1"/>
  <c r="M393" i="3"/>
  <c r="U487" i="3" l="1"/>
  <c r="Q485" i="1"/>
  <c r="D394" i="3"/>
  <c r="N393" i="3"/>
  <c r="E394" i="3" s="1"/>
  <c r="V393" i="3"/>
  <c r="P488" i="3" l="1"/>
  <c r="W487" i="3"/>
  <c r="Y394" i="3"/>
  <c r="F394" i="3"/>
  <c r="G394" i="3" s="1"/>
  <c r="R488" i="3"/>
  <c r="Q488" i="3"/>
  <c r="AB488" i="3"/>
  <c r="H394" i="3" l="1"/>
  <c r="U392" i="1"/>
  <c r="T486" i="1"/>
  <c r="S488" i="3"/>
  <c r="R392" i="1" l="1"/>
  <c r="I394" i="3"/>
  <c r="AA394" i="3"/>
  <c r="Z395" i="3" s="1"/>
  <c r="P486" i="1"/>
  <c r="T488" i="3"/>
  <c r="AD488" i="3"/>
  <c r="AC489" i="3" s="1"/>
  <c r="K394" i="3" l="1"/>
  <c r="M394" i="3" s="1"/>
  <c r="S392" i="1"/>
  <c r="U488" i="3"/>
  <c r="Q486" i="1"/>
  <c r="P489" i="3" l="1"/>
  <c r="W488" i="3"/>
  <c r="V394" i="3"/>
  <c r="L394" i="3"/>
  <c r="O394" i="3" s="1"/>
  <c r="X394" i="3" s="1"/>
  <c r="D395" i="3"/>
  <c r="N394" i="3"/>
  <c r="E395" i="3" s="1"/>
  <c r="Q489" i="3"/>
  <c r="AB489" i="3" l="1"/>
  <c r="R489" i="3"/>
  <c r="Y395" i="3"/>
  <c r="H395" i="3" s="1"/>
  <c r="AA395" i="3" s="1"/>
  <c r="Z396" i="3" s="1"/>
  <c r="F395" i="3"/>
  <c r="G395" i="3" s="1"/>
  <c r="U393" i="1" s="1"/>
  <c r="T487" i="1" l="1"/>
  <c r="S489" i="3"/>
  <c r="R393" i="1"/>
  <c r="I395" i="3"/>
  <c r="AD489" i="3" l="1"/>
  <c r="AC490" i="3" s="1"/>
  <c r="P487" i="1"/>
  <c r="T489" i="3"/>
  <c r="S393" i="1"/>
  <c r="K395" i="3"/>
  <c r="U489" i="3" l="1"/>
  <c r="Q487" i="1"/>
  <c r="L395" i="3"/>
  <c r="O395" i="3" s="1"/>
  <c r="X395" i="3" s="1"/>
  <c r="M395" i="3"/>
  <c r="W489" i="3" l="1"/>
  <c r="P490" i="3"/>
  <c r="R490" i="3" s="1"/>
  <c r="D396" i="3"/>
  <c r="N395" i="3"/>
  <c r="E396" i="3" s="1"/>
  <c r="V395" i="3"/>
  <c r="Q490" i="3"/>
  <c r="AB490" i="3"/>
  <c r="F396" i="3" l="1"/>
  <c r="G396" i="3" s="1"/>
  <c r="Y396" i="3"/>
  <c r="S490" i="3"/>
  <c r="AD490" i="3" s="1"/>
  <c r="AC491" i="3" s="1"/>
  <c r="T488" i="1"/>
  <c r="U394" i="1" l="1"/>
  <c r="H396" i="3"/>
  <c r="P488" i="1"/>
  <c r="T490" i="3"/>
  <c r="R394" i="1" l="1"/>
  <c r="I396" i="3"/>
  <c r="AA396" i="3"/>
  <c r="Z397" i="3" s="1"/>
  <c r="Q488" i="1"/>
  <c r="U490" i="3"/>
  <c r="K396" i="3" l="1"/>
  <c r="S394" i="1"/>
  <c r="P491" i="3"/>
  <c r="W490" i="3"/>
  <c r="L396" i="3" l="1"/>
  <c r="O396" i="3" s="1"/>
  <c r="X396" i="3" s="1"/>
  <c r="M396" i="3"/>
  <c r="R491" i="3"/>
  <c r="AB491" i="3"/>
  <c r="Q491" i="3"/>
  <c r="D397" i="3" l="1"/>
  <c r="N396" i="3"/>
  <c r="E397" i="3" s="1"/>
  <c r="V396" i="3"/>
  <c r="T489" i="1"/>
  <c r="S491" i="3"/>
  <c r="G397" i="3" l="1"/>
  <c r="F397" i="3"/>
  <c r="Y397" i="3"/>
  <c r="U395" i="1"/>
  <c r="H397" i="3"/>
  <c r="I397" i="3" s="1"/>
  <c r="P489" i="1"/>
  <c r="T491" i="3"/>
  <c r="AD491" i="3"/>
  <c r="AC492" i="3" s="1"/>
  <c r="K397" i="3" l="1"/>
  <c r="S395" i="1"/>
  <c r="AA397" i="3"/>
  <c r="Z398" i="3" s="1"/>
  <c r="R395" i="1"/>
  <c r="U491" i="3"/>
  <c r="Q489" i="1"/>
  <c r="L397" i="3" l="1"/>
  <c r="O397" i="3" s="1"/>
  <c r="X397" i="3" s="1"/>
  <c r="M397" i="3"/>
  <c r="P492" i="3"/>
  <c r="AB492" i="3" s="1"/>
  <c r="W491" i="3"/>
  <c r="R492" i="3" l="1"/>
  <c r="Q492" i="3"/>
  <c r="D398" i="3"/>
  <c r="N397" i="3"/>
  <c r="E398" i="3" s="1"/>
  <c r="V397" i="3"/>
  <c r="S492" i="3" l="1"/>
  <c r="T492" i="3" s="1"/>
  <c r="T490" i="1"/>
  <c r="G398" i="3"/>
  <c r="F398" i="3"/>
  <c r="Y398" i="3"/>
  <c r="AD492" i="3" l="1"/>
  <c r="AC493" i="3" s="1"/>
  <c r="P490" i="1"/>
  <c r="U396" i="1"/>
  <c r="H398" i="3"/>
  <c r="I398" i="3" s="1"/>
  <c r="Q490" i="1"/>
  <c r="U492" i="3"/>
  <c r="K398" i="3" l="1"/>
  <c r="S396" i="1"/>
  <c r="AA398" i="3"/>
  <c r="Z399" i="3" s="1"/>
  <c r="R396" i="1"/>
  <c r="P493" i="3"/>
  <c r="W492" i="3"/>
  <c r="L398" i="3" l="1"/>
  <c r="O398" i="3" s="1"/>
  <c r="X398" i="3" s="1"/>
  <c r="M398" i="3"/>
  <c r="V398" i="3" s="1"/>
  <c r="AB493" i="3"/>
  <c r="Q493" i="3"/>
  <c r="R493" i="3"/>
  <c r="N398" i="3" l="1"/>
  <c r="E399" i="3" s="1"/>
  <c r="D399" i="3"/>
  <c r="S493" i="3"/>
  <c r="AD493" i="3" s="1"/>
  <c r="AC494" i="3" s="1"/>
  <c r="T491" i="1"/>
  <c r="Y399" i="3" l="1"/>
  <c r="F399" i="3"/>
  <c r="G399" i="3" s="1"/>
  <c r="P491" i="1"/>
  <c r="T493" i="3"/>
  <c r="H399" i="3" l="1"/>
  <c r="I399" i="3" s="1"/>
  <c r="U397" i="1"/>
  <c r="Q491" i="1"/>
  <c r="U493" i="3"/>
  <c r="R397" i="1" l="1"/>
  <c r="AA399" i="3"/>
  <c r="Z400" i="3" s="1"/>
  <c r="K399" i="3"/>
  <c r="S397" i="1"/>
  <c r="P494" i="3"/>
  <c r="W493" i="3"/>
  <c r="Q494" i="3"/>
  <c r="R494" i="3" l="1"/>
  <c r="T492" i="1" s="1"/>
  <c r="AB494" i="3"/>
  <c r="L399" i="3"/>
  <c r="O399" i="3" s="1"/>
  <c r="X399" i="3" s="1"/>
  <c r="M399" i="3"/>
  <c r="S494" i="3" l="1"/>
  <c r="D400" i="3"/>
  <c r="N399" i="3"/>
  <c r="E400" i="3" s="1"/>
  <c r="V399" i="3"/>
  <c r="T494" i="3" l="1"/>
  <c r="P492" i="1"/>
  <c r="AD494" i="3"/>
  <c r="AC495" i="3" s="1"/>
  <c r="F400" i="3"/>
  <c r="Y400" i="3"/>
  <c r="G400" i="3"/>
  <c r="U398" i="1" s="1"/>
  <c r="U494" i="3" l="1"/>
  <c r="Q492" i="1"/>
  <c r="H400" i="3"/>
  <c r="AA400" i="3" s="1"/>
  <c r="Z401" i="3" s="1"/>
  <c r="W494" i="3" l="1"/>
  <c r="P495" i="3"/>
  <c r="R398" i="1"/>
  <c r="I400" i="3"/>
  <c r="AB495" i="3" l="1"/>
  <c r="R495" i="3"/>
  <c r="Q495" i="3"/>
  <c r="K400" i="3"/>
  <c r="S398" i="1"/>
  <c r="S495" i="3" l="1"/>
  <c r="T495" i="3" s="1"/>
  <c r="T493" i="1"/>
  <c r="L400" i="3"/>
  <c r="O400" i="3" s="1"/>
  <c r="X400" i="3" s="1"/>
  <c r="M400" i="3"/>
  <c r="Q493" i="1" l="1"/>
  <c r="U495" i="3"/>
  <c r="P493" i="1"/>
  <c r="AD495" i="3"/>
  <c r="AC496" i="3" s="1"/>
  <c r="V400" i="3"/>
  <c r="D401" i="3"/>
  <c r="N400" i="3"/>
  <c r="E401" i="3" s="1"/>
  <c r="W495" i="3" l="1"/>
  <c r="P496" i="3"/>
  <c r="G401" i="3"/>
  <c r="U399" i="1" s="1"/>
  <c r="F401" i="3"/>
  <c r="Y401" i="3"/>
  <c r="Q496" i="3" l="1"/>
  <c r="R496" i="3"/>
  <c r="AB496" i="3"/>
  <c r="H401" i="3"/>
  <c r="AA401" i="3" s="1"/>
  <c r="Z402" i="3" s="1"/>
  <c r="T494" i="1" l="1"/>
  <c r="S496" i="3"/>
  <c r="I401" i="3"/>
  <c r="R399" i="1"/>
  <c r="P494" i="1" l="1"/>
  <c r="T496" i="3"/>
  <c r="AD496" i="3"/>
  <c r="AC497" i="3" s="1"/>
  <c r="K401" i="3"/>
  <c r="M401" i="3" s="1"/>
  <c r="S399" i="1"/>
  <c r="Q494" i="1" l="1"/>
  <c r="U496" i="3"/>
  <c r="N401" i="3"/>
  <c r="E402" i="3" s="1"/>
  <c r="D402" i="3"/>
  <c r="V401" i="3"/>
  <c r="L401" i="3"/>
  <c r="O401" i="3" s="1"/>
  <c r="X401" i="3" s="1"/>
  <c r="P497" i="3" l="1"/>
  <c r="W496" i="3"/>
  <c r="R497" i="3"/>
  <c r="Q497" i="3"/>
  <c r="AB497" i="3"/>
  <c r="F402" i="3"/>
  <c r="Y402" i="3"/>
  <c r="G402" i="3"/>
  <c r="T495" i="1" l="1"/>
  <c r="S497" i="3"/>
  <c r="U400" i="1"/>
  <c r="H402" i="3"/>
  <c r="I402" i="3" s="1"/>
  <c r="P495" i="1" l="1"/>
  <c r="AD497" i="3"/>
  <c r="AC498" i="3" s="1"/>
  <c r="T497" i="3"/>
  <c r="S400" i="1"/>
  <c r="K402" i="3"/>
  <c r="AA402" i="3"/>
  <c r="Z403" i="3" s="1"/>
  <c r="R400" i="1"/>
  <c r="U497" i="3" l="1"/>
  <c r="Q495" i="1"/>
  <c r="M402" i="3"/>
  <c r="L402" i="3"/>
  <c r="O402" i="3" s="1"/>
  <c r="X402" i="3" s="1"/>
  <c r="P498" i="3" l="1"/>
  <c r="L45" i="1"/>
  <c r="W497" i="3"/>
  <c r="V402" i="3"/>
  <c r="N402" i="3"/>
  <c r="E403" i="3" s="1"/>
  <c r="D403" i="3"/>
  <c r="Q498" i="3" l="1"/>
  <c r="AB498" i="3"/>
  <c r="R498" i="3"/>
  <c r="T496" i="1" s="1"/>
  <c r="Y403" i="3"/>
  <c r="G403" i="3"/>
  <c r="F403" i="3"/>
  <c r="H403" i="3" l="1"/>
  <c r="S498" i="3"/>
  <c r="AD498" i="3" s="1"/>
  <c r="AC499" i="3" s="1"/>
  <c r="U401" i="1"/>
  <c r="P496" i="1" l="1"/>
  <c r="T498" i="3"/>
  <c r="AA403" i="3"/>
  <c r="Z404" i="3" s="1"/>
  <c r="I403" i="3"/>
  <c r="R401" i="1"/>
  <c r="U498" i="3" l="1"/>
  <c r="Q496" i="1"/>
  <c r="W498" i="3"/>
  <c r="P499" i="3"/>
  <c r="S401" i="1"/>
  <c r="K403" i="3"/>
  <c r="Q499" i="3" l="1"/>
  <c r="AB499" i="3"/>
  <c r="R499" i="3"/>
  <c r="L403" i="3"/>
  <c r="O403" i="3" s="1"/>
  <c r="X403" i="3" s="1"/>
  <c r="M403" i="3"/>
  <c r="S499" i="3" l="1"/>
  <c r="T499" i="3" s="1"/>
  <c r="T497" i="1"/>
  <c r="V403" i="3"/>
  <c r="D404" i="3"/>
  <c r="N403" i="3"/>
  <c r="E404" i="3" s="1"/>
  <c r="F404" i="3" l="1"/>
  <c r="G404" i="3" s="1"/>
  <c r="U402" i="1" s="1"/>
  <c r="Y404" i="3"/>
  <c r="Q497" i="1"/>
  <c r="U499" i="3"/>
  <c r="H404" i="3"/>
  <c r="P497" i="1"/>
  <c r="AD499" i="3"/>
  <c r="AC500" i="3" s="1"/>
  <c r="W499" i="3" l="1"/>
  <c r="P500" i="3"/>
  <c r="I404" i="3"/>
  <c r="AA404" i="3"/>
  <c r="Z405" i="3" s="1"/>
  <c r="R402" i="1"/>
  <c r="R500" i="3" l="1"/>
  <c r="Q500" i="3"/>
  <c r="AB500" i="3"/>
  <c r="S402" i="1"/>
  <c r="K404" i="3"/>
  <c r="M404" i="3" l="1"/>
  <c r="L404" i="3"/>
  <c r="O404" i="3" s="1"/>
  <c r="X404" i="3" s="1"/>
  <c r="S500" i="3"/>
  <c r="T500" i="3" s="1"/>
  <c r="T498" i="1"/>
  <c r="U500" i="3" l="1"/>
  <c r="Q498" i="1"/>
  <c r="N404" i="3"/>
  <c r="E405" i="3" s="1"/>
  <c r="D405" i="3"/>
  <c r="V404" i="3"/>
  <c r="P498" i="1"/>
  <c r="AD500" i="3"/>
  <c r="AC501" i="3" s="1"/>
  <c r="W500" i="3" l="1"/>
  <c r="P501" i="3"/>
  <c r="F405" i="3"/>
  <c r="G405" i="3" s="1"/>
  <c r="U403" i="1" s="1"/>
  <c r="Y405" i="3"/>
  <c r="Q501" i="3"/>
  <c r="AB501" i="3"/>
  <c r="R501" i="3"/>
  <c r="H405" i="3" l="1"/>
  <c r="AA405" i="3" s="1"/>
  <c r="Z406" i="3" s="1"/>
  <c r="S501" i="3"/>
  <c r="AD501" i="3" s="1"/>
  <c r="AC502" i="3" s="1"/>
  <c r="T499" i="1"/>
  <c r="R403" i="1" l="1"/>
  <c r="I405" i="3"/>
  <c r="P499" i="1"/>
  <c r="T501" i="3"/>
  <c r="K405" i="3" l="1"/>
  <c r="S403" i="1"/>
  <c r="U501" i="3"/>
  <c r="Q499" i="1"/>
  <c r="M405" i="3" l="1"/>
  <c r="V405" i="3" s="1"/>
  <c r="L405" i="3"/>
  <c r="O405" i="3" s="1"/>
  <c r="X405" i="3" s="1"/>
  <c r="P502" i="3"/>
  <c r="R502" i="3" s="1"/>
  <c r="T500" i="1" s="1"/>
  <c r="W501" i="3"/>
  <c r="AB502" i="3"/>
  <c r="Q502" i="3"/>
  <c r="N405" i="3" l="1"/>
  <c r="E406" i="3" s="1"/>
  <c r="D406" i="3"/>
  <c r="S502" i="3"/>
  <c r="F406" i="3" l="1"/>
  <c r="G406" i="3" s="1"/>
  <c r="U404" i="1" s="1"/>
  <c r="Y406" i="3"/>
  <c r="AD502" i="3"/>
  <c r="AC503" i="3" s="1"/>
  <c r="P500" i="1"/>
  <c r="T502" i="3"/>
  <c r="H406" i="3" l="1"/>
  <c r="AA406" i="3" s="1"/>
  <c r="Z407" i="3" s="1"/>
  <c r="Q500" i="1"/>
  <c r="U502" i="3"/>
  <c r="R404" i="1" l="1"/>
  <c r="I406" i="3"/>
  <c r="P503" i="3"/>
  <c r="W502" i="3"/>
  <c r="K406" i="3" l="1"/>
  <c r="S404" i="1"/>
  <c r="Q503" i="3"/>
  <c r="R503" i="3"/>
  <c r="AB503" i="3"/>
  <c r="L406" i="3" l="1"/>
  <c r="O406" i="3" s="1"/>
  <c r="X406" i="3" s="1"/>
  <c r="M406" i="3"/>
  <c r="V406" i="3" s="1"/>
  <c r="T501" i="1"/>
  <c r="S503" i="3"/>
  <c r="T503" i="3" s="1"/>
  <c r="D407" i="3" l="1"/>
  <c r="N406" i="3"/>
  <c r="E407" i="3" s="1"/>
  <c r="Q501" i="1"/>
  <c r="U503" i="3"/>
  <c r="P501" i="1"/>
  <c r="AD503" i="3"/>
  <c r="AC504" i="3" s="1"/>
  <c r="F407" i="3" l="1"/>
  <c r="Y407" i="3"/>
  <c r="G407" i="3"/>
  <c r="P504" i="3"/>
  <c r="W503" i="3"/>
  <c r="H407" i="3" l="1"/>
  <c r="AA407" i="3" s="1"/>
  <c r="Z408" i="3" s="1"/>
  <c r="U405" i="1"/>
  <c r="Q504" i="3"/>
  <c r="R504" i="3"/>
  <c r="AB504" i="3"/>
  <c r="R405" i="1" l="1"/>
  <c r="I407" i="3"/>
  <c r="T502" i="1"/>
  <c r="S504" i="3"/>
  <c r="S405" i="1" l="1"/>
  <c r="K407" i="3"/>
  <c r="P502" i="1"/>
  <c r="T504" i="3"/>
  <c r="AD504" i="3"/>
  <c r="AC505" i="3" s="1"/>
  <c r="L407" i="3" l="1"/>
  <c r="O407" i="3" s="1"/>
  <c r="X407" i="3" s="1"/>
  <c r="M407" i="3"/>
  <c r="Q502" i="1"/>
  <c r="U504" i="3"/>
  <c r="V407" i="3" l="1"/>
  <c r="N407" i="3"/>
  <c r="E408" i="3" s="1"/>
  <c r="D408" i="3"/>
  <c r="P505" i="3"/>
  <c r="W504" i="3"/>
  <c r="Y408" i="3" l="1"/>
  <c r="F408" i="3"/>
  <c r="G408" i="3" s="1"/>
  <c r="AB505" i="3"/>
  <c r="R505" i="3"/>
  <c r="Q505" i="3"/>
  <c r="H408" i="3" l="1"/>
  <c r="U406" i="1"/>
  <c r="T503" i="1"/>
  <c r="S505" i="3"/>
  <c r="T505" i="3" s="1"/>
  <c r="R406" i="1" l="1"/>
  <c r="AA408" i="3"/>
  <c r="Z409" i="3" s="1"/>
  <c r="I408" i="3"/>
  <c r="Q503" i="1"/>
  <c r="U505" i="3"/>
  <c r="AD505" i="3"/>
  <c r="AC506" i="3" s="1"/>
  <c r="P503" i="1"/>
  <c r="S406" i="1" l="1"/>
  <c r="K408" i="3"/>
  <c r="W505" i="3"/>
  <c r="P506" i="3"/>
  <c r="M408" i="3" l="1"/>
  <c r="L408" i="3"/>
  <c r="O408" i="3" s="1"/>
  <c r="X408" i="3" s="1"/>
  <c r="Q506" i="3"/>
  <c r="AB506" i="3"/>
  <c r="R506" i="3"/>
  <c r="V408" i="3" l="1"/>
  <c r="D409" i="3"/>
  <c r="N408" i="3"/>
  <c r="E409" i="3" s="1"/>
  <c r="S506" i="3"/>
  <c r="T506" i="3" s="1"/>
  <c r="T504" i="1"/>
  <c r="Y409" i="3" l="1"/>
  <c r="G409" i="3"/>
  <c r="F409" i="3"/>
  <c r="P504" i="1"/>
  <c r="AD506" i="3"/>
  <c r="AC507" i="3" s="1"/>
  <c r="Q504" i="1"/>
  <c r="U506" i="3"/>
  <c r="U407" i="1" l="1"/>
  <c r="H409" i="3"/>
  <c r="I409" i="3" s="1"/>
  <c r="P507" i="3"/>
  <c r="W506" i="3"/>
  <c r="K409" i="3" l="1"/>
  <c r="S407" i="1"/>
  <c r="AA409" i="3"/>
  <c r="Z410" i="3" s="1"/>
  <c r="R407" i="1"/>
  <c r="R507" i="3"/>
  <c r="T505" i="1" s="1"/>
  <c r="AB507" i="3"/>
  <c r="Q507" i="3"/>
  <c r="L409" i="3" l="1"/>
  <c r="O409" i="3" s="1"/>
  <c r="X409" i="3" s="1"/>
  <c r="M409" i="3"/>
  <c r="V409" i="3" s="1"/>
  <c r="S507" i="3"/>
  <c r="N409" i="3" l="1"/>
  <c r="E410" i="3" s="1"/>
  <c r="D410" i="3"/>
  <c r="AD507" i="3"/>
  <c r="AC508" i="3" s="1"/>
  <c r="P505" i="1"/>
  <c r="T507" i="3"/>
  <c r="F410" i="3" l="1"/>
  <c r="G410" i="3"/>
  <c r="Y410" i="3"/>
  <c r="U507" i="3"/>
  <c r="Q505" i="1"/>
  <c r="W507" i="3" l="1"/>
  <c r="P508" i="3"/>
  <c r="U408" i="1"/>
  <c r="H410" i="3"/>
  <c r="AB508" i="3"/>
  <c r="Q508" i="3" l="1"/>
  <c r="R508" i="3"/>
  <c r="R408" i="1"/>
  <c r="I410" i="3"/>
  <c r="AA410" i="3"/>
  <c r="Z411" i="3" s="1"/>
  <c r="S508" i="3" l="1"/>
  <c r="T506" i="1"/>
  <c r="S408" i="1"/>
  <c r="K410" i="3"/>
  <c r="AD508" i="3" l="1"/>
  <c r="AC509" i="3" s="1"/>
  <c r="T508" i="3"/>
  <c r="P506" i="1"/>
  <c r="M410" i="3"/>
  <c r="L410" i="3"/>
  <c r="O410" i="3" s="1"/>
  <c r="X410" i="3" s="1"/>
  <c r="U508" i="3" l="1"/>
  <c r="Q506" i="1"/>
  <c r="V410" i="3"/>
  <c r="D411" i="3"/>
  <c r="N410" i="3"/>
  <c r="E411" i="3" s="1"/>
  <c r="P509" i="3" l="1"/>
  <c r="W508" i="3"/>
  <c r="F411" i="3"/>
  <c r="G411" i="3"/>
  <c r="Y411" i="3"/>
  <c r="H411" i="3" s="1"/>
  <c r="AB509" i="3" l="1"/>
  <c r="Q509" i="3"/>
  <c r="R509" i="3"/>
  <c r="T507" i="1" s="1"/>
  <c r="I411" i="3"/>
  <c r="U409" i="1"/>
  <c r="R409" i="1"/>
  <c r="AA411" i="3"/>
  <c r="Z412" i="3" s="1"/>
  <c r="S509" i="3" l="1"/>
  <c r="AD509" i="3" s="1"/>
  <c r="AC510" i="3" s="1"/>
  <c r="K411" i="3"/>
  <c r="S409" i="1"/>
  <c r="P507" i="1" l="1"/>
  <c r="T509" i="3"/>
  <c r="L411" i="3"/>
  <c r="O411" i="3" s="1"/>
  <c r="X411" i="3" s="1"/>
  <c r="M411" i="3"/>
  <c r="U509" i="3" l="1"/>
  <c r="Q507" i="1"/>
  <c r="D412" i="3"/>
  <c r="N411" i="3"/>
  <c r="E412" i="3" s="1"/>
  <c r="V411" i="3"/>
  <c r="L46" i="1" l="1"/>
  <c r="P510" i="3"/>
  <c r="W509" i="3"/>
  <c r="F412" i="3"/>
  <c r="Y412" i="3"/>
  <c r="G412" i="3"/>
  <c r="H412" i="3"/>
  <c r="U410" i="1"/>
  <c r="AB510" i="3" l="1"/>
  <c r="R510" i="3"/>
  <c r="Q510" i="3"/>
  <c r="R410" i="1"/>
  <c r="AA412" i="3"/>
  <c r="Z413" i="3" s="1"/>
  <c r="I412" i="3"/>
  <c r="S410" i="1" s="1"/>
  <c r="K412" i="3"/>
  <c r="S510" i="3" l="1"/>
  <c r="T508" i="1"/>
  <c r="L412" i="3"/>
  <c r="O412" i="3" s="1"/>
  <c r="X412" i="3" s="1"/>
  <c r="M412" i="3"/>
  <c r="V412" i="3" s="1"/>
  <c r="P508" i="1" l="1"/>
  <c r="AD510" i="3"/>
  <c r="AC511" i="3" s="1"/>
  <c r="T510" i="3"/>
  <c r="D413" i="3"/>
  <c r="N412" i="3"/>
  <c r="E413" i="3" s="1"/>
  <c r="Q508" i="1" l="1"/>
  <c r="U510" i="3"/>
  <c r="Y413" i="3"/>
  <c r="F413" i="3"/>
  <c r="G413" i="3" s="1"/>
  <c r="P511" i="3" l="1"/>
  <c r="W510" i="3"/>
  <c r="H413" i="3"/>
  <c r="U411" i="1"/>
  <c r="AB511" i="3" l="1"/>
  <c r="Q511" i="3"/>
  <c r="R511" i="3"/>
  <c r="R411" i="1"/>
  <c r="I413" i="3"/>
  <c r="AA413" i="3"/>
  <c r="Z414" i="3" s="1"/>
  <c r="T509" i="1" l="1"/>
  <c r="S511" i="3"/>
  <c r="T511" i="3" s="1"/>
  <c r="S411" i="1"/>
  <c r="K413" i="3"/>
  <c r="Q509" i="1" l="1"/>
  <c r="U511" i="3"/>
  <c r="AD511" i="3"/>
  <c r="AC512" i="3" s="1"/>
  <c r="P509" i="1"/>
  <c r="L413" i="3"/>
  <c r="O413" i="3" s="1"/>
  <c r="X413" i="3" s="1"/>
  <c r="M413" i="3"/>
  <c r="V413" i="3" s="1"/>
  <c r="P512" i="3" l="1"/>
  <c r="W511" i="3"/>
  <c r="D414" i="3"/>
  <c r="N413" i="3"/>
  <c r="E414" i="3" s="1"/>
  <c r="Q512" i="3" l="1"/>
  <c r="R512" i="3"/>
  <c r="T510" i="1" s="1"/>
  <c r="AB512" i="3"/>
  <c r="Y414" i="3"/>
  <c r="F414" i="3"/>
  <c r="G414" i="3" s="1"/>
  <c r="S512" i="3" l="1"/>
  <c r="AD512" i="3" s="1"/>
  <c r="AC513" i="3" s="1"/>
  <c r="H414" i="3"/>
  <c r="AA414" i="3" s="1"/>
  <c r="Z415" i="3" s="1"/>
  <c r="U412" i="1"/>
  <c r="P510" i="1" l="1"/>
  <c r="T512" i="3"/>
  <c r="R412" i="1"/>
  <c r="I414" i="3"/>
  <c r="U512" i="3" l="1"/>
  <c r="P513" i="3" s="1"/>
  <c r="W512" i="3"/>
  <c r="Q510" i="1"/>
  <c r="S412" i="1"/>
  <c r="K414" i="3"/>
  <c r="R513" i="3" l="1"/>
  <c r="AB513" i="3"/>
  <c r="S513" i="3" s="1"/>
  <c r="Q513" i="3"/>
  <c r="M414" i="3"/>
  <c r="L414" i="3"/>
  <c r="O414" i="3" s="1"/>
  <c r="X414" i="3" s="1"/>
  <c r="T513" i="3" l="1"/>
  <c r="T511" i="1"/>
  <c r="P511" i="1"/>
  <c r="AD513" i="3"/>
  <c r="AC514" i="3" s="1"/>
  <c r="V414" i="3"/>
  <c r="D415" i="3"/>
  <c r="N414" i="3"/>
  <c r="E415" i="3" s="1"/>
  <c r="Q511" i="1" l="1"/>
  <c r="U513" i="3"/>
  <c r="Y415" i="3"/>
  <c r="F415" i="3"/>
  <c r="G415" i="3" s="1"/>
  <c r="P514" i="3" l="1"/>
  <c r="W513" i="3"/>
  <c r="H415" i="3"/>
  <c r="I415" i="3"/>
  <c r="U413" i="1"/>
  <c r="R514" i="3" l="1"/>
  <c r="AB514" i="3"/>
  <c r="S514" i="3" s="1"/>
  <c r="Q514" i="3"/>
  <c r="K415" i="3"/>
  <c r="S413" i="1"/>
  <c r="R413" i="1"/>
  <c r="AA415" i="3"/>
  <c r="Z416" i="3" s="1"/>
  <c r="T514" i="3" l="1"/>
  <c r="T512" i="1"/>
  <c r="P512" i="1"/>
  <c r="AD514" i="3"/>
  <c r="AC515" i="3" s="1"/>
  <c r="L415" i="3"/>
  <c r="O415" i="3" s="1"/>
  <c r="X415" i="3" s="1"/>
  <c r="M415" i="3"/>
  <c r="V415" i="3" s="1"/>
  <c r="D416" i="3"/>
  <c r="N415" i="3"/>
  <c r="E416" i="3" s="1"/>
  <c r="Q512" i="1" l="1"/>
  <c r="U514" i="3"/>
  <c r="F416" i="3"/>
  <c r="G416" i="3" s="1"/>
  <c r="Y416" i="3"/>
  <c r="W514" i="3" l="1"/>
  <c r="P515" i="3"/>
  <c r="U414" i="1"/>
  <c r="H416" i="3"/>
  <c r="R515" i="3" l="1"/>
  <c r="T513" i="1" s="1"/>
  <c r="Q515" i="3"/>
  <c r="AB515" i="3"/>
  <c r="R414" i="1"/>
  <c r="I416" i="3"/>
  <c r="AA416" i="3"/>
  <c r="Z417" i="3" s="1"/>
  <c r="S515" i="3" l="1"/>
  <c r="AD515" i="3"/>
  <c r="AC516" i="3" s="1"/>
  <c r="S414" i="1"/>
  <c r="K416" i="3"/>
  <c r="P513" i="1" l="1"/>
  <c r="T515" i="3"/>
  <c r="L416" i="3"/>
  <c r="O416" i="3" s="1"/>
  <c r="X416" i="3" s="1"/>
  <c r="M416" i="3"/>
  <c r="V416" i="3" s="1"/>
  <c r="Q513" i="1" l="1"/>
  <c r="U515" i="3"/>
  <c r="D417" i="3"/>
  <c r="N416" i="3"/>
  <c r="E417" i="3" s="1"/>
  <c r="W515" i="3" l="1"/>
  <c r="P516" i="3"/>
  <c r="F417" i="3"/>
  <c r="G417" i="3" s="1"/>
  <c r="U415" i="1" s="1"/>
  <c r="Y417" i="3"/>
  <c r="R516" i="3" l="1"/>
  <c r="T514" i="1" s="1"/>
  <c r="Q516" i="3"/>
  <c r="AB516" i="3"/>
  <c r="H417" i="3"/>
  <c r="AA417" i="3" s="1"/>
  <c r="Z418" i="3" s="1"/>
  <c r="S516" i="3" l="1"/>
  <c r="AD516" i="3" s="1"/>
  <c r="AC517" i="3" s="1"/>
  <c r="R415" i="1"/>
  <c r="I417" i="3"/>
  <c r="P514" i="1" l="1"/>
  <c r="T516" i="3"/>
  <c r="K417" i="3"/>
  <c r="S415" i="1"/>
  <c r="U516" i="3" l="1"/>
  <c r="Q514" i="1"/>
  <c r="L417" i="3"/>
  <c r="O417" i="3" s="1"/>
  <c r="X417" i="3" s="1"/>
  <c r="M417" i="3"/>
  <c r="V417" i="3" s="1"/>
  <c r="P517" i="3" l="1"/>
  <c r="W516" i="3"/>
  <c r="D418" i="3"/>
  <c r="N417" i="3"/>
  <c r="E418" i="3" s="1"/>
  <c r="Q517" i="3" l="1"/>
  <c r="AB517" i="3"/>
  <c r="R517" i="3"/>
  <c r="T515" i="1" s="1"/>
  <c r="Y418" i="3"/>
  <c r="F418" i="3"/>
  <c r="G418" i="3" s="1"/>
  <c r="S517" i="3" l="1"/>
  <c r="AD517" i="3" s="1"/>
  <c r="AC518" i="3" s="1"/>
  <c r="H418" i="3"/>
  <c r="I418" i="3" s="1"/>
  <c r="U416" i="1"/>
  <c r="P515" i="1" l="1"/>
  <c r="T517" i="3"/>
  <c r="K418" i="3"/>
  <c r="S416" i="1"/>
  <c r="R416" i="1"/>
  <c r="AA418" i="3"/>
  <c r="Z419" i="3" s="1"/>
  <c r="U517" i="3" l="1"/>
  <c r="Q515" i="1"/>
  <c r="L418" i="3"/>
  <c r="O418" i="3" s="1"/>
  <c r="X418" i="3" s="1"/>
  <c r="M418" i="3"/>
  <c r="V418" i="3" s="1"/>
  <c r="P518" i="3" l="1"/>
  <c r="W517" i="3"/>
  <c r="N418" i="3"/>
  <c r="E419" i="3" s="1"/>
  <c r="D419" i="3"/>
  <c r="AB518" i="3" l="1"/>
  <c r="R518" i="3"/>
  <c r="Q518" i="3"/>
  <c r="Y419" i="3"/>
  <c r="G419" i="3"/>
  <c r="F419" i="3"/>
  <c r="S518" i="3" l="1"/>
  <c r="T516" i="1"/>
  <c r="H419" i="3"/>
  <c r="I419" i="3" s="1"/>
  <c r="U417" i="1"/>
  <c r="P516" i="1" l="1"/>
  <c r="T518" i="3"/>
  <c r="AD518" i="3"/>
  <c r="AC519" i="3" s="1"/>
  <c r="K419" i="3"/>
  <c r="S417" i="1"/>
  <c r="R417" i="1"/>
  <c r="AA419" i="3"/>
  <c r="Z420" i="3" s="1"/>
  <c r="Q516" i="1" l="1"/>
  <c r="U518" i="3"/>
  <c r="P519" i="3" s="1"/>
  <c r="W518" i="3"/>
  <c r="L419" i="3"/>
  <c r="O419" i="3" s="1"/>
  <c r="X419" i="3" s="1"/>
  <c r="M419" i="3"/>
  <c r="AB519" i="3" l="1"/>
  <c r="Q519" i="3"/>
  <c r="R519" i="3"/>
  <c r="N419" i="3"/>
  <c r="E420" i="3" s="1"/>
  <c r="D420" i="3"/>
  <c r="V419" i="3"/>
  <c r="T517" i="1" l="1"/>
  <c r="S519" i="3"/>
  <c r="T519" i="3" s="1"/>
  <c r="G420" i="3"/>
  <c r="F420" i="3"/>
  <c r="Y420" i="3"/>
  <c r="U519" i="3" l="1"/>
  <c r="Q517" i="1"/>
  <c r="AD519" i="3"/>
  <c r="AC520" i="3" s="1"/>
  <c r="P517" i="1"/>
  <c r="H420" i="3"/>
  <c r="I420" i="3"/>
  <c r="U418" i="1"/>
  <c r="P520" i="3" l="1"/>
  <c r="W519" i="3"/>
  <c r="R418" i="1"/>
  <c r="AA420" i="3"/>
  <c r="Z421" i="3" s="1"/>
  <c r="K420" i="3"/>
  <c r="S418" i="1"/>
  <c r="R520" i="3" l="1"/>
  <c r="AB520" i="3"/>
  <c r="Q520" i="3"/>
  <c r="L420" i="3"/>
  <c r="O420" i="3" s="1"/>
  <c r="X420" i="3" s="1"/>
  <c r="M420" i="3"/>
  <c r="T520" i="3" l="1"/>
  <c r="T518" i="1"/>
  <c r="AD520" i="3"/>
  <c r="AC521" i="3" s="1"/>
  <c r="S520" i="3"/>
  <c r="P518" i="1" s="1"/>
  <c r="V420" i="3"/>
  <c r="N420" i="3"/>
  <c r="E421" i="3" s="1"/>
  <c r="D421" i="3"/>
  <c r="F421" i="3"/>
  <c r="Y421" i="3"/>
  <c r="G421" i="3"/>
  <c r="U419" i="1" s="1"/>
  <c r="U520" i="3" l="1"/>
  <c r="P521" i="3" s="1"/>
  <c r="W520" i="3"/>
  <c r="Q518" i="1"/>
  <c r="H421" i="3"/>
  <c r="AA421" i="3" s="1"/>
  <c r="Z422" i="3" s="1"/>
  <c r="AB521" i="3" l="1"/>
  <c r="Q521" i="3"/>
  <c r="R521" i="3"/>
  <c r="R419" i="1"/>
  <c r="I421" i="3"/>
  <c r="S521" i="3" l="1"/>
  <c r="T519" i="1"/>
  <c r="K421" i="3"/>
  <c r="S419" i="1"/>
  <c r="P519" i="1" l="1"/>
  <c r="T521" i="3"/>
  <c r="AD521" i="3"/>
  <c r="AC522" i="3" s="1"/>
  <c r="L421" i="3"/>
  <c r="O421" i="3" s="1"/>
  <c r="X421" i="3" s="1"/>
  <c r="M421" i="3"/>
  <c r="Q519" i="1" l="1"/>
  <c r="U521" i="3"/>
  <c r="W521" i="3" s="1"/>
  <c r="N421" i="3"/>
  <c r="E422" i="3" s="1"/>
  <c r="D422" i="3"/>
  <c r="V421" i="3"/>
  <c r="P522" i="3" l="1"/>
  <c r="L47" i="1"/>
  <c r="F422" i="3"/>
  <c r="G422" i="3"/>
  <c r="Y422" i="3"/>
  <c r="AB522" i="3" l="1"/>
  <c r="R522" i="3"/>
  <c r="Q522" i="3"/>
  <c r="U420" i="1"/>
  <c r="H422" i="3"/>
  <c r="I422" i="3" s="1"/>
  <c r="S522" i="3" l="1"/>
  <c r="T520" i="1"/>
  <c r="K422" i="3"/>
  <c r="S420" i="1"/>
  <c r="R420" i="1"/>
  <c r="AA422" i="3"/>
  <c r="Z423" i="3" s="1"/>
  <c r="P520" i="1" l="1"/>
  <c r="T522" i="3"/>
  <c r="AD522" i="3"/>
  <c r="AC523" i="3" s="1"/>
  <c r="L422" i="3"/>
  <c r="O422" i="3" s="1"/>
  <c r="X422" i="3" s="1"/>
  <c r="M422" i="3"/>
  <c r="V422" i="3" s="1"/>
  <c r="Q520" i="1" l="1"/>
  <c r="U522" i="3"/>
  <c r="D423" i="3"/>
  <c r="N422" i="3"/>
  <c r="E423" i="3" s="1"/>
  <c r="P523" i="3" l="1"/>
  <c r="W522" i="3"/>
  <c r="F423" i="3"/>
  <c r="G423" i="3" s="1"/>
  <c r="Y423" i="3"/>
  <c r="R523" i="3" l="1"/>
  <c r="Q523" i="3"/>
  <c r="AB523" i="3"/>
  <c r="U421" i="1"/>
  <c r="H423" i="3"/>
  <c r="T521" i="1" l="1"/>
  <c r="S523" i="3"/>
  <c r="R421" i="1"/>
  <c r="I423" i="3"/>
  <c r="AA423" i="3"/>
  <c r="Z424" i="3" s="1"/>
  <c r="P521" i="1" l="1"/>
  <c r="T523" i="3"/>
  <c r="AD523" i="3"/>
  <c r="AC524" i="3" s="1"/>
  <c r="S421" i="1"/>
  <c r="K423" i="3"/>
  <c r="U523" i="3" l="1"/>
  <c r="P524" i="3" s="1"/>
  <c r="Q521" i="1"/>
  <c r="W523" i="3"/>
  <c r="L423" i="3"/>
  <c r="O423" i="3" s="1"/>
  <c r="X423" i="3" s="1"/>
  <c r="M423" i="3"/>
  <c r="V423" i="3" s="1"/>
  <c r="AB524" i="3" l="1"/>
  <c r="R524" i="3"/>
  <c r="Q524" i="3"/>
  <c r="N423" i="3"/>
  <c r="E424" i="3" s="1"/>
  <c r="D424" i="3"/>
  <c r="AD524" i="3" l="1"/>
  <c r="AC525" i="3" s="1"/>
  <c r="S524" i="3"/>
  <c r="P522" i="1" s="1"/>
  <c r="T524" i="3"/>
  <c r="T522" i="1"/>
  <c r="F424" i="3"/>
  <c r="G424" i="3" s="1"/>
  <c r="U422" i="1" s="1"/>
  <c r="Y424" i="3"/>
  <c r="U524" i="3" l="1"/>
  <c r="Q522" i="1"/>
  <c r="H424" i="3"/>
  <c r="AA424" i="3" s="1"/>
  <c r="Z425" i="3" s="1"/>
  <c r="P525" i="3" l="1"/>
  <c r="W524" i="3"/>
  <c r="R422" i="1"/>
  <c r="I424" i="3"/>
  <c r="R525" i="3" l="1"/>
  <c r="Q525" i="3"/>
  <c r="AB525" i="3"/>
  <c r="S525" i="3" s="1"/>
  <c r="K424" i="3"/>
  <c r="M424" i="3"/>
  <c r="S422" i="1"/>
  <c r="T525" i="3" l="1"/>
  <c r="T523" i="1"/>
  <c r="P523" i="1"/>
  <c r="AD525" i="3"/>
  <c r="AC526" i="3" s="1"/>
  <c r="L424" i="3"/>
  <c r="O424" i="3" s="1"/>
  <c r="X424" i="3" s="1"/>
  <c r="V424" i="3"/>
  <c r="N424" i="3"/>
  <c r="E425" i="3" s="1"/>
  <c r="D425" i="3"/>
  <c r="U525" i="3" l="1"/>
  <c r="Q523" i="1"/>
  <c r="G425" i="3"/>
  <c r="F425" i="3"/>
  <c r="Y425" i="3"/>
  <c r="P526" i="3" l="1"/>
  <c r="W525" i="3"/>
  <c r="U423" i="1"/>
  <c r="H425" i="3"/>
  <c r="R526" i="3" l="1"/>
  <c r="AB526" i="3"/>
  <c r="S526" i="3" s="1"/>
  <c r="Q526" i="3"/>
  <c r="R423" i="1"/>
  <c r="I425" i="3"/>
  <c r="AA425" i="3"/>
  <c r="Z426" i="3" s="1"/>
  <c r="T526" i="3" l="1"/>
  <c r="T524" i="1"/>
  <c r="P524" i="1"/>
  <c r="AD526" i="3"/>
  <c r="AC527" i="3" s="1"/>
  <c r="S423" i="1"/>
  <c r="K425" i="3"/>
  <c r="Q524" i="1" l="1"/>
  <c r="U526" i="3"/>
  <c r="L425" i="3"/>
  <c r="O425" i="3" s="1"/>
  <c r="X425" i="3" s="1"/>
  <c r="M425" i="3"/>
  <c r="P527" i="3" l="1"/>
  <c r="W526" i="3"/>
  <c r="M39" i="1"/>
  <c r="N425" i="3"/>
  <c r="E426" i="3" s="1"/>
  <c r="D426" i="3"/>
  <c r="V425" i="3"/>
  <c r="AB527" i="3" l="1"/>
  <c r="Q527" i="3"/>
  <c r="R527" i="3"/>
  <c r="Y426" i="3"/>
  <c r="G426" i="3"/>
  <c r="F426" i="3"/>
  <c r="S527" i="3" l="1"/>
  <c r="T525" i="1"/>
  <c r="H426" i="3"/>
  <c r="U424" i="1"/>
  <c r="P525" i="1" l="1"/>
  <c r="AD527" i="3"/>
  <c r="AC528" i="3" s="1"/>
  <c r="T527" i="3"/>
  <c r="R424" i="1"/>
  <c r="AA426" i="3"/>
  <c r="Z427" i="3" s="1"/>
  <c r="I426" i="3"/>
  <c r="K426" i="3" s="1"/>
  <c r="S424" i="1"/>
  <c r="U527" i="3" l="1"/>
  <c r="P528" i="3" s="1"/>
  <c r="Q525" i="1"/>
  <c r="W527" i="3"/>
  <c r="L426" i="3"/>
  <c r="O426" i="3" s="1"/>
  <c r="X426" i="3" s="1"/>
  <c r="M426" i="3"/>
  <c r="AB528" i="3" l="1"/>
  <c r="R528" i="3"/>
  <c r="Q528" i="3"/>
  <c r="N426" i="3"/>
  <c r="E427" i="3" s="1"/>
  <c r="D427" i="3"/>
  <c r="V426" i="3"/>
  <c r="AD528" i="3" l="1"/>
  <c r="AC529" i="3" s="1"/>
  <c r="S528" i="3"/>
  <c r="T526" i="1"/>
  <c r="G427" i="3"/>
  <c r="Y427" i="3"/>
  <c r="F427" i="3"/>
  <c r="P526" i="1" l="1"/>
  <c r="T528" i="3"/>
  <c r="U425" i="1"/>
  <c r="H427" i="3"/>
  <c r="U528" i="3" l="1"/>
  <c r="Q526" i="1"/>
  <c r="R425" i="1"/>
  <c r="I427" i="3"/>
  <c r="AA427" i="3"/>
  <c r="Z428" i="3" s="1"/>
  <c r="P529" i="3" l="1"/>
  <c r="W528" i="3"/>
  <c r="S425" i="1"/>
  <c r="K427" i="3"/>
  <c r="Q529" i="3" l="1"/>
  <c r="AB529" i="3"/>
  <c r="R529" i="3"/>
  <c r="L427" i="3"/>
  <c r="O427" i="3" s="1"/>
  <c r="X427" i="3" s="1"/>
  <c r="M427" i="3"/>
  <c r="V427" i="3" s="1"/>
  <c r="S529" i="3" l="1"/>
  <c r="T527" i="1"/>
  <c r="D428" i="3"/>
  <c r="N427" i="3"/>
  <c r="E428" i="3" s="1"/>
  <c r="P527" i="1" l="1"/>
  <c r="T529" i="3"/>
  <c r="AD529" i="3"/>
  <c r="AC530" i="3" s="1"/>
  <c r="F428" i="3"/>
  <c r="G428" i="3"/>
  <c r="Y428" i="3"/>
  <c r="Q527" i="1" l="1"/>
  <c r="U529" i="3"/>
  <c r="U426" i="1"/>
  <c r="H428" i="3"/>
  <c r="P530" i="3" l="1"/>
  <c r="W529" i="3"/>
  <c r="R426" i="1"/>
  <c r="AA428" i="3"/>
  <c r="Z429" i="3" s="1"/>
  <c r="I428" i="3"/>
  <c r="R530" i="3" l="1"/>
  <c r="AB530" i="3"/>
  <c r="Q530" i="3"/>
  <c r="S426" i="1"/>
  <c r="K428" i="3"/>
  <c r="T528" i="1" l="1"/>
  <c r="S530" i="3"/>
  <c r="L428" i="3"/>
  <c r="O428" i="3" s="1"/>
  <c r="X428" i="3" s="1"/>
  <c r="M428" i="3"/>
  <c r="P528" i="1" l="1"/>
  <c r="T530" i="3"/>
  <c r="AD530" i="3"/>
  <c r="AC531" i="3" s="1"/>
  <c r="N428" i="3"/>
  <c r="E429" i="3" s="1"/>
  <c r="D429" i="3"/>
  <c r="V428" i="3"/>
  <c r="Q528" i="1" l="1"/>
  <c r="U530" i="3"/>
  <c r="F429" i="3"/>
  <c r="Y429" i="3"/>
  <c r="G429" i="3"/>
  <c r="P531" i="3" l="1"/>
  <c r="W530" i="3"/>
  <c r="H429" i="3"/>
  <c r="U427" i="1"/>
  <c r="AB531" i="3" l="1"/>
  <c r="Q531" i="3"/>
  <c r="R531" i="3"/>
  <c r="T529" i="1" s="1"/>
  <c r="R427" i="1"/>
  <c r="AA429" i="3"/>
  <c r="Z430" i="3" s="1"/>
  <c r="I429" i="3"/>
  <c r="S531" i="3" l="1"/>
  <c r="AD531" i="3" s="1"/>
  <c r="AC532" i="3" s="1"/>
  <c r="S427" i="1"/>
  <c r="K429" i="3"/>
  <c r="P529" i="1" l="1"/>
  <c r="T531" i="3"/>
  <c r="L429" i="3"/>
  <c r="O429" i="3" s="1"/>
  <c r="X429" i="3" s="1"/>
  <c r="M429" i="3"/>
  <c r="V429" i="3"/>
  <c r="U531" i="3" l="1"/>
  <c r="Q529" i="1"/>
  <c r="D430" i="3"/>
  <c r="N429" i="3"/>
  <c r="E430" i="3" s="1"/>
  <c r="P532" i="3" l="1"/>
  <c r="W531" i="3"/>
  <c r="Y430" i="3"/>
  <c r="F430" i="3"/>
  <c r="G430" i="3"/>
  <c r="Q532" i="3" l="1"/>
  <c r="AB532" i="3"/>
  <c r="R532" i="3"/>
  <c r="T530" i="1" s="1"/>
  <c r="H430" i="3"/>
  <c r="U428" i="1"/>
  <c r="S532" i="3" l="1"/>
  <c r="AD532" i="3" s="1"/>
  <c r="AC533" i="3" s="1"/>
  <c r="R428" i="1"/>
  <c r="AA430" i="3"/>
  <c r="Z431" i="3" s="1"/>
  <c r="I430" i="3"/>
  <c r="P530" i="1" l="1"/>
  <c r="T532" i="3"/>
  <c r="S428" i="1"/>
  <c r="K430" i="3"/>
  <c r="U532" i="3" l="1"/>
  <c r="Q530" i="1"/>
  <c r="L430" i="3"/>
  <c r="O430" i="3" s="1"/>
  <c r="X430" i="3" s="1"/>
  <c r="M430" i="3"/>
  <c r="V430" i="3" s="1"/>
  <c r="P533" i="3" l="1"/>
  <c r="W532" i="3"/>
  <c r="N430" i="3"/>
  <c r="E431" i="3" s="1"/>
  <c r="D431" i="3"/>
  <c r="R533" i="3" l="1"/>
  <c r="AB533" i="3"/>
  <c r="S533" i="3" s="1"/>
  <c r="Q533" i="3"/>
  <c r="G431" i="3"/>
  <c r="Y431" i="3"/>
  <c r="H431" i="3" s="1"/>
  <c r="F431" i="3"/>
  <c r="T533" i="3" l="1"/>
  <c r="T531" i="1"/>
  <c r="P531" i="1"/>
  <c r="AD533" i="3"/>
  <c r="AC534" i="3" s="1"/>
  <c r="I431" i="3"/>
  <c r="U429" i="1"/>
  <c r="R429" i="1"/>
  <c r="AA431" i="3"/>
  <c r="Z432" i="3" s="1"/>
  <c r="U533" i="3" l="1"/>
  <c r="Q531" i="1"/>
  <c r="K431" i="3"/>
  <c r="S429" i="1"/>
  <c r="W533" i="3" l="1"/>
  <c r="P534" i="3"/>
  <c r="L48" i="1"/>
  <c r="L431" i="3"/>
  <c r="O431" i="3" s="1"/>
  <c r="X431" i="3" s="1"/>
  <c r="M431" i="3"/>
  <c r="AB534" i="3" l="1"/>
  <c r="Q534" i="3"/>
  <c r="R534" i="3"/>
  <c r="T532" i="1" s="1"/>
  <c r="D432" i="3"/>
  <c r="N431" i="3"/>
  <c r="E432" i="3" s="1"/>
  <c r="V431" i="3"/>
  <c r="S534" i="3" l="1"/>
  <c r="AD534" i="3" s="1"/>
  <c r="AC535" i="3" s="1"/>
  <c r="G432" i="3"/>
  <c r="Y432" i="3"/>
  <c r="H432" i="3" s="1"/>
  <c r="F432" i="3"/>
  <c r="P532" i="1" l="1"/>
  <c r="T534" i="3"/>
  <c r="I432" i="3"/>
  <c r="U430" i="1"/>
  <c r="R430" i="1"/>
  <c r="AA432" i="3"/>
  <c r="Z433" i="3" s="1"/>
  <c r="U534" i="3" l="1"/>
  <c r="P535" i="3" s="1"/>
  <c r="W534" i="3"/>
  <c r="Q532" i="1"/>
  <c r="K432" i="3"/>
  <c r="S430" i="1"/>
  <c r="AB535" i="3" l="1"/>
  <c r="Q535" i="3"/>
  <c r="R535" i="3"/>
  <c r="L432" i="3"/>
  <c r="O432" i="3" s="1"/>
  <c r="X432" i="3" s="1"/>
  <c r="M432" i="3"/>
  <c r="V432" i="3" s="1"/>
  <c r="S535" i="3" l="1"/>
  <c r="T535" i="3"/>
  <c r="T533" i="1"/>
  <c r="N432" i="3"/>
  <c r="E433" i="3" s="1"/>
  <c r="D433" i="3"/>
  <c r="W535" i="3" l="1"/>
  <c r="U535" i="3"/>
  <c r="P536" i="3" s="1"/>
  <c r="Q533" i="1"/>
  <c r="P533" i="1"/>
  <c r="AD535" i="3"/>
  <c r="AC536" i="3" s="1"/>
  <c r="Y433" i="3"/>
  <c r="F433" i="3"/>
  <c r="G433" i="3"/>
  <c r="Q536" i="3" l="1"/>
  <c r="AB536" i="3"/>
  <c r="R536" i="3"/>
  <c r="H433" i="3"/>
  <c r="U431" i="1"/>
  <c r="S536" i="3" l="1"/>
  <c r="T534" i="1"/>
  <c r="R431" i="1"/>
  <c r="I433" i="3"/>
  <c r="AA433" i="3"/>
  <c r="Z434" i="3" s="1"/>
  <c r="P534" i="1" l="1"/>
  <c r="AD536" i="3"/>
  <c r="AC537" i="3" s="1"/>
  <c r="T536" i="3"/>
  <c r="K433" i="3"/>
  <c r="S431" i="1"/>
  <c r="Q534" i="1" l="1"/>
  <c r="U536" i="3"/>
  <c r="L433" i="3"/>
  <c r="O433" i="3" s="1"/>
  <c r="X433" i="3" s="1"/>
  <c r="M433" i="3"/>
  <c r="V433" i="3" s="1"/>
  <c r="P537" i="3" l="1"/>
  <c r="W536" i="3"/>
  <c r="N433" i="3"/>
  <c r="E434" i="3" s="1"/>
  <c r="D434" i="3"/>
  <c r="AB537" i="3" l="1"/>
  <c r="S537" i="3" s="1"/>
  <c r="Q537" i="3"/>
  <c r="R537" i="3"/>
  <c r="F434" i="3"/>
  <c r="Y434" i="3"/>
  <c r="G434" i="3"/>
  <c r="P535" i="1" l="1"/>
  <c r="AD537" i="3"/>
  <c r="AC538" i="3" s="1"/>
  <c r="T537" i="3"/>
  <c r="T535" i="1"/>
  <c r="H434" i="3"/>
  <c r="R432" i="1"/>
  <c r="U432" i="1"/>
  <c r="U537" i="3" l="1"/>
  <c r="Q535" i="1"/>
  <c r="AA434" i="3"/>
  <c r="Z435" i="3" s="1"/>
  <c r="I434" i="3"/>
  <c r="K434" i="3" s="1"/>
  <c r="S432" i="1"/>
  <c r="P538" i="3" l="1"/>
  <c r="W537" i="3"/>
  <c r="L434" i="3"/>
  <c r="O434" i="3" s="1"/>
  <c r="X434" i="3" s="1"/>
  <c r="M434" i="3"/>
  <c r="AB538" i="3" l="1"/>
  <c r="R538" i="3"/>
  <c r="Q538" i="3"/>
  <c r="N434" i="3"/>
  <c r="E435" i="3" s="1"/>
  <c r="D435" i="3"/>
  <c r="V434" i="3"/>
  <c r="S538" i="3" l="1"/>
  <c r="T538" i="3"/>
  <c r="T536" i="1"/>
  <c r="Y435" i="3"/>
  <c r="G435" i="3"/>
  <c r="U433" i="1" s="1"/>
  <c r="F435" i="3"/>
  <c r="U538" i="3" l="1"/>
  <c r="P539" i="3" s="1"/>
  <c r="W538" i="3"/>
  <c r="Q536" i="1"/>
  <c r="P536" i="1"/>
  <c r="AD538" i="3"/>
  <c r="AC539" i="3" s="1"/>
  <c r="H435" i="3"/>
  <c r="AA435" i="3" s="1"/>
  <c r="Z436" i="3" s="1"/>
  <c r="R539" i="3" l="1"/>
  <c r="AB539" i="3"/>
  <c r="Q539" i="3"/>
  <c r="R433" i="1"/>
  <c r="I435" i="3"/>
  <c r="T537" i="1" l="1"/>
  <c r="S539" i="3"/>
  <c r="K435" i="3"/>
  <c r="S433" i="1"/>
  <c r="P537" i="1" l="1"/>
  <c r="AD539" i="3"/>
  <c r="AC540" i="3" s="1"/>
  <c r="T539" i="3"/>
  <c r="L435" i="3"/>
  <c r="O435" i="3" s="1"/>
  <c r="X435" i="3" s="1"/>
  <c r="M435" i="3"/>
  <c r="V435" i="3" s="1"/>
  <c r="Q537" i="1" l="1"/>
  <c r="U539" i="3"/>
  <c r="P540" i="3" s="1"/>
  <c r="W539" i="3"/>
  <c r="N435" i="3"/>
  <c r="E436" i="3" s="1"/>
  <c r="D436" i="3"/>
  <c r="R540" i="3" l="1"/>
  <c r="Q540" i="3"/>
  <c r="AB540" i="3"/>
  <c r="S540" i="3" s="1"/>
  <c r="Y436" i="3"/>
  <c r="G436" i="3"/>
  <c r="F436" i="3"/>
  <c r="T540" i="3" l="1"/>
  <c r="T538" i="1"/>
  <c r="P538" i="1"/>
  <c r="AD540" i="3"/>
  <c r="AC541" i="3" s="1"/>
  <c r="H436" i="3"/>
  <c r="U434" i="1"/>
  <c r="Q538" i="1" l="1"/>
  <c r="U540" i="3"/>
  <c r="R434" i="1"/>
  <c r="I436" i="3"/>
  <c r="AA436" i="3"/>
  <c r="Z437" i="3" s="1"/>
  <c r="W540" i="3" l="1"/>
  <c r="P541" i="3"/>
  <c r="S434" i="1"/>
  <c r="K436" i="3"/>
  <c r="R541" i="3" l="1"/>
  <c r="T539" i="1" s="1"/>
  <c r="AB541" i="3"/>
  <c r="Q541" i="3"/>
  <c r="L436" i="3"/>
  <c r="O436" i="3" s="1"/>
  <c r="X436" i="3" s="1"/>
  <c r="M436" i="3"/>
  <c r="V436" i="3" s="1"/>
  <c r="S541" i="3" l="1"/>
  <c r="D437" i="3"/>
  <c r="N436" i="3"/>
  <c r="E437" i="3" s="1"/>
  <c r="AD541" i="3" l="1"/>
  <c r="AC542" i="3" s="1"/>
  <c r="P539" i="1"/>
  <c r="T541" i="3"/>
  <c r="Y437" i="3"/>
  <c r="F437" i="3"/>
  <c r="G437" i="3"/>
  <c r="Q539" i="1" l="1"/>
  <c r="U541" i="3"/>
  <c r="H437" i="3"/>
  <c r="I437" i="3"/>
  <c r="U435" i="1"/>
  <c r="P542" i="3" l="1"/>
  <c r="W541" i="3"/>
  <c r="K437" i="3"/>
  <c r="L437" i="3" s="1"/>
  <c r="O437" i="3" s="1"/>
  <c r="X437" i="3" s="1"/>
  <c r="M437" i="3"/>
  <c r="V437" i="3" s="1"/>
  <c r="S435" i="1"/>
  <c r="R435" i="1"/>
  <c r="AA437" i="3"/>
  <c r="Z438" i="3" s="1"/>
  <c r="R542" i="3" l="1"/>
  <c r="Q542" i="3"/>
  <c r="AB542" i="3"/>
  <c r="S542" i="3" s="1"/>
  <c r="D438" i="3"/>
  <c r="M40" i="1"/>
  <c r="N437" i="3"/>
  <c r="E438" i="3" s="1"/>
  <c r="T542" i="3" l="1"/>
  <c r="T540" i="1"/>
  <c r="P540" i="1"/>
  <c r="AD542" i="3"/>
  <c r="AC543" i="3" s="1"/>
  <c r="Y438" i="3"/>
  <c r="G438" i="3"/>
  <c r="F438" i="3"/>
  <c r="Q540" i="1" l="1"/>
  <c r="U542" i="3"/>
  <c r="H438" i="3"/>
  <c r="U436" i="1"/>
  <c r="P543" i="3" l="1"/>
  <c r="W542" i="3"/>
  <c r="R436" i="1"/>
  <c r="I438" i="3"/>
  <c r="AA438" i="3"/>
  <c r="Z439" i="3" s="1"/>
  <c r="AB543" i="3" l="1"/>
  <c r="S543" i="3" s="1"/>
  <c r="R543" i="3"/>
  <c r="Q543" i="3"/>
  <c r="S436" i="1"/>
  <c r="K438" i="3"/>
  <c r="P541" i="1" l="1"/>
  <c r="AD543" i="3"/>
  <c r="AC544" i="3" s="1"/>
  <c r="T543" i="3"/>
  <c r="T541" i="1"/>
  <c r="L438" i="3"/>
  <c r="O438" i="3" s="1"/>
  <c r="X438" i="3" s="1"/>
  <c r="M438" i="3"/>
  <c r="Q541" i="1" l="1"/>
  <c r="U543" i="3"/>
  <c r="D439" i="3"/>
  <c r="N438" i="3"/>
  <c r="E439" i="3" s="1"/>
  <c r="V438" i="3"/>
  <c r="W543" i="3" l="1"/>
  <c r="P544" i="3"/>
  <c r="G439" i="3"/>
  <c r="U437" i="1" s="1"/>
  <c r="Y439" i="3"/>
  <c r="F439" i="3"/>
  <c r="AB544" i="3" l="1"/>
  <c r="R544" i="3"/>
  <c r="T542" i="1" s="1"/>
  <c r="Q544" i="3"/>
  <c r="H439" i="3"/>
  <c r="AA439" i="3" s="1"/>
  <c r="Z440" i="3" s="1"/>
  <c r="S544" i="3" l="1"/>
  <c r="AD544" i="3" s="1"/>
  <c r="AC545" i="3" s="1"/>
  <c r="R437" i="1"/>
  <c r="I439" i="3"/>
  <c r="P542" i="1" l="1"/>
  <c r="T544" i="3"/>
  <c r="K439" i="3"/>
  <c r="S437" i="1"/>
  <c r="U544" i="3" l="1"/>
  <c r="Q542" i="1"/>
  <c r="L439" i="3"/>
  <c r="O439" i="3" s="1"/>
  <c r="X439" i="3" s="1"/>
  <c r="M439" i="3"/>
  <c r="V439" i="3" s="1"/>
  <c r="P545" i="3" l="1"/>
  <c r="W544" i="3"/>
  <c r="D440" i="3"/>
  <c r="N439" i="3"/>
  <c r="E440" i="3" s="1"/>
  <c r="Q545" i="3" l="1"/>
  <c r="AB545" i="3"/>
  <c r="R545" i="3"/>
  <c r="F440" i="3"/>
  <c r="Y440" i="3"/>
  <c r="G440" i="3"/>
  <c r="T543" i="1" l="1"/>
  <c r="S545" i="3"/>
  <c r="T545" i="3" s="1"/>
  <c r="H440" i="3"/>
  <c r="U438" i="1"/>
  <c r="Q543" i="1" l="1"/>
  <c r="U545" i="3"/>
  <c r="W545" i="3" s="1"/>
  <c r="AD545" i="3"/>
  <c r="AC546" i="3" s="1"/>
  <c r="P543" i="1"/>
  <c r="R438" i="1"/>
  <c r="AA440" i="3"/>
  <c r="Z441" i="3" s="1"/>
  <c r="I440" i="3"/>
  <c r="K440" i="3" s="1"/>
  <c r="M440" i="3" s="1"/>
  <c r="S438" i="1"/>
  <c r="L49" i="1" l="1"/>
  <c r="P546" i="3"/>
  <c r="N440" i="3"/>
  <c r="E441" i="3" s="1"/>
  <c r="D441" i="3"/>
  <c r="L440" i="3"/>
  <c r="O440" i="3" s="1"/>
  <c r="X440" i="3" s="1"/>
  <c r="V440" i="3"/>
  <c r="AB546" i="3" l="1"/>
  <c r="R546" i="3"/>
  <c r="Q546" i="3"/>
  <c r="G441" i="3"/>
  <c r="F441" i="3"/>
  <c r="Y441" i="3"/>
  <c r="H441" i="3" s="1"/>
  <c r="S546" i="3" l="1"/>
  <c r="T544" i="1"/>
  <c r="I441" i="3"/>
  <c r="U439" i="1"/>
  <c r="R439" i="1"/>
  <c r="AA441" i="3"/>
  <c r="Z442" i="3" s="1"/>
  <c r="P544" i="1" l="1"/>
  <c r="T546" i="3"/>
  <c r="AD546" i="3"/>
  <c r="AC547" i="3" s="1"/>
  <c r="K441" i="3"/>
  <c r="S439" i="1"/>
  <c r="U546" i="3" l="1"/>
  <c r="Q544" i="1"/>
  <c r="L441" i="3"/>
  <c r="O441" i="3" s="1"/>
  <c r="X441" i="3" s="1"/>
  <c r="M441" i="3"/>
  <c r="P547" i="3" l="1"/>
  <c r="W546" i="3"/>
  <c r="N441" i="3"/>
  <c r="E442" i="3" s="1"/>
  <c r="D442" i="3"/>
  <c r="V441" i="3"/>
  <c r="R547" i="3" l="1"/>
  <c r="AB547" i="3"/>
  <c r="Q547" i="3"/>
  <c r="G442" i="3"/>
  <c r="F442" i="3"/>
  <c r="Y442" i="3"/>
  <c r="T545" i="1" l="1"/>
  <c r="S547" i="3"/>
  <c r="U440" i="1"/>
  <c r="H442" i="3"/>
  <c r="I442" i="3" s="1"/>
  <c r="P545" i="1" l="1"/>
  <c r="T547" i="3"/>
  <c r="AD547" i="3"/>
  <c r="AC548" i="3" s="1"/>
  <c r="K442" i="3"/>
  <c r="S440" i="1"/>
  <c r="R440" i="1"/>
  <c r="AA442" i="3"/>
  <c r="Z443" i="3" s="1"/>
  <c r="Q545" i="1" l="1"/>
  <c r="U547" i="3"/>
  <c r="P548" i="3" s="1"/>
  <c r="W547" i="3"/>
  <c r="L442" i="3"/>
  <c r="O442" i="3" s="1"/>
  <c r="X442" i="3" s="1"/>
  <c r="M442" i="3"/>
  <c r="V442" i="3" s="1"/>
  <c r="Q548" i="3" l="1"/>
  <c r="R548" i="3"/>
  <c r="AB548" i="3"/>
  <c r="D443" i="3"/>
  <c r="N442" i="3"/>
  <c r="E443" i="3" s="1"/>
  <c r="T546" i="1" l="1"/>
  <c r="S548" i="3"/>
  <c r="T548" i="3" s="1"/>
  <c r="Y443" i="3"/>
  <c r="F443" i="3"/>
  <c r="G443" i="3"/>
  <c r="U441" i="1" s="1"/>
  <c r="Q546" i="1" l="1"/>
  <c r="U548" i="3"/>
  <c r="AD548" i="3"/>
  <c r="AC549" i="3" s="1"/>
  <c r="P546" i="1"/>
  <c r="H443" i="3"/>
  <c r="AA443" i="3" s="1"/>
  <c r="Z444" i="3" s="1"/>
  <c r="W548" i="3" l="1"/>
  <c r="P549" i="3"/>
  <c r="R441" i="1"/>
  <c r="I443" i="3"/>
  <c r="R549" i="3" l="1"/>
  <c r="AB549" i="3"/>
  <c r="Q549" i="3"/>
  <c r="K443" i="3"/>
  <c r="S441" i="1"/>
  <c r="T547" i="1" l="1"/>
  <c r="T549" i="3"/>
  <c r="S549" i="3"/>
  <c r="P547" i="1" s="1"/>
  <c r="AD549" i="3"/>
  <c r="AC550" i="3" s="1"/>
  <c r="L443" i="3"/>
  <c r="O443" i="3" s="1"/>
  <c r="X443" i="3" s="1"/>
  <c r="M443" i="3"/>
  <c r="U549" i="3" l="1"/>
  <c r="Q547" i="1"/>
  <c r="V443" i="3"/>
  <c r="N443" i="3"/>
  <c r="E444" i="3" s="1"/>
  <c r="D444" i="3"/>
  <c r="G444" i="3"/>
  <c r="F444" i="3"/>
  <c r="Y444" i="3"/>
  <c r="W549" i="3" l="1"/>
  <c r="P550" i="3"/>
  <c r="U442" i="1"/>
  <c r="H444" i="3"/>
  <c r="Q550" i="3" l="1"/>
  <c r="R550" i="3"/>
  <c r="T548" i="1" s="1"/>
  <c r="AB550" i="3"/>
  <c r="S550" i="3" s="1"/>
  <c r="R442" i="1"/>
  <c r="I444" i="3"/>
  <c r="AA444" i="3"/>
  <c r="Z445" i="3" s="1"/>
  <c r="T550" i="3" l="1"/>
  <c r="P548" i="1"/>
  <c r="AD550" i="3"/>
  <c r="AC551" i="3" s="1"/>
  <c r="K444" i="3"/>
  <c r="M444" i="3" s="1"/>
  <c r="S442" i="1"/>
  <c r="U550" i="3"/>
  <c r="Q548" i="1"/>
  <c r="V444" i="3" l="1"/>
  <c r="L444" i="3"/>
  <c r="O444" i="3" s="1"/>
  <c r="X444" i="3" s="1"/>
  <c r="N444" i="3"/>
  <c r="E445" i="3" s="1"/>
  <c r="D445" i="3"/>
  <c r="G445" i="3"/>
  <c r="U443" i="1" s="1"/>
  <c r="P551" i="3"/>
  <c r="W550" i="3"/>
  <c r="Q551" i="3"/>
  <c r="F445" i="3" l="1"/>
  <c r="Y445" i="3"/>
  <c r="H445" i="3"/>
  <c r="AA445" i="3" s="1"/>
  <c r="Z446" i="3" s="1"/>
  <c r="AB551" i="3"/>
  <c r="R551" i="3"/>
  <c r="T549" i="1" s="1"/>
  <c r="S551" i="3"/>
  <c r="R443" i="1" l="1"/>
  <c r="I445" i="3"/>
  <c r="P549" i="1"/>
  <c r="T551" i="3"/>
  <c r="AD551" i="3"/>
  <c r="AC552" i="3" s="1"/>
  <c r="K445" i="3" l="1"/>
  <c r="S443" i="1"/>
  <c r="U551" i="3"/>
  <c r="Q549" i="1"/>
  <c r="L445" i="3" l="1"/>
  <c r="O445" i="3" s="1"/>
  <c r="X445" i="3" s="1"/>
  <c r="M445" i="3"/>
  <c r="W551" i="3"/>
  <c r="P552" i="3"/>
  <c r="V445" i="3" l="1"/>
  <c r="D446" i="3"/>
  <c r="G446" i="3" s="1"/>
  <c r="N445" i="3"/>
  <c r="E446" i="3" s="1"/>
  <c r="F446" i="3"/>
  <c r="Y446" i="3"/>
  <c r="R552" i="3"/>
  <c r="Q552" i="3"/>
  <c r="AB552" i="3"/>
  <c r="H446" i="3" l="1"/>
  <c r="U444" i="1"/>
  <c r="T550" i="1"/>
  <c r="S552" i="3"/>
  <c r="R444" i="1" l="1"/>
  <c r="I446" i="3"/>
  <c r="AA446" i="3"/>
  <c r="Z447" i="3" s="1"/>
  <c r="T552" i="3"/>
  <c r="AD552" i="3"/>
  <c r="AC553" i="3" s="1"/>
  <c r="P550" i="1"/>
  <c r="Q550" i="1" l="1"/>
  <c r="U552" i="3"/>
  <c r="S444" i="1"/>
  <c r="K446" i="3"/>
  <c r="P553" i="3" l="1"/>
  <c r="W552" i="3"/>
  <c r="L446" i="3"/>
  <c r="O446" i="3" s="1"/>
  <c r="X446" i="3" s="1"/>
  <c r="M446" i="3"/>
  <c r="V446" i="3" s="1"/>
  <c r="Q553" i="3"/>
  <c r="R553" i="3"/>
  <c r="AB553" i="3"/>
  <c r="N446" i="3" l="1"/>
  <c r="E447" i="3" s="1"/>
  <c r="D447" i="3"/>
  <c r="T551" i="1"/>
  <c r="S553" i="3"/>
  <c r="AD553" i="3" s="1"/>
  <c r="AC554" i="3" s="1"/>
  <c r="Y447" i="3" l="1"/>
  <c r="F447" i="3"/>
  <c r="G447" i="3"/>
  <c r="P551" i="1"/>
  <c r="T553" i="3"/>
  <c r="H447" i="3" l="1"/>
  <c r="I447" i="3" s="1"/>
  <c r="U445" i="1"/>
  <c r="U553" i="3"/>
  <c r="Q551" i="1"/>
  <c r="W553" i="3" l="1"/>
  <c r="P554" i="3"/>
  <c r="K447" i="3"/>
  <c r="S445" i="1"/>
  <c r="R445" i="1"/>
  <c r="AA447" i="3"/>
  <c r="Z448" i="3" s="1"/>
  <c r="R554" i="3" l="1"/>
  <c r="T552" i="1" s="1"/>
  <c r="Q554" i="3"/>
  <c r="AB554" i="3"/>
  <c r="L447" i="3"/>
  <c r="O447" i="3" s="1"/>
  <c r="X447" i="3" s="1"/>
  <c r="M447" i="3"/>
  <c r="S554" i="3" l="1"/>
  <c r="D448" i="3"/>
  <c r="N447" i="3"/>
  <c r="E448" i="3" s="1"/>
  <c r="V447" i="3"/>
  <c r="AD554" i="3" l="1"/>
  <c r="AC555" i="3" s="1"/>
  <c r="P552" i="1"/>
  <c r="T554" i="3"/>
  <c r="G448" i="3"/>
  <c r="Y448" i="3"/>
  <c r="F448" i="3"/>
  <c r="Q552" i="1" l="1"/>
  <c r="U554" i="3"/>
  <c r="I448" i="3"/>
  <c r="U446" i="1"/>
  <c r="AA448" i="3"/>
  <c r="Z449" i="3" s="1"/>
  <c r="H448" i="3"/>
  <c r="R446" i="1" s="1"/>
  <c r="P555" i="3" l="1"/>
  <c r="W554" i="3"/>
  <c r="K448" i="3"/>
  <c r="S446" i="1"/>
  <c r="Q555" i="3" l="1"/>
  <c r="AB555" i="3"/>
  <c r="R555" i="3"/>
  <c r="L448" i="3"/>
  <c r="O448" i="3" s="1"/>
  <c r="X448" i="3" s="1"/>
  <c r="M448" i="3"/>
  <c r="V448" i="3"/>
  <c r="S555" i="3" l="1"/>
  <c r="AD555" i="3" s="1"/>
  <c r="AC556" i="3" s="1"/>
  <c r="T553" i="1"/>
  <c r="N448" i="3"/>
  <c r="E449" i="3" s="1"/>
  <c r="D449" i="3"/>
  <c r="P553" i="1" l="1"/>
  <c r="T555" i="3"/>
  <c r="Y449" i="3"/>
  <c r="F449" i="3"/>
  <c r="G449" i="3"/>
  <c r="Q553" i="1" l="1"/>
  <c r="U555" i="3"/>
  <c r="H449" i="3"/>
  <c r="I449" i="3" s="1"/>
  <c r="U447" i="1"/>
  <c r="P556" i="3" l="1"/>
  <c r="W555" i="3"/>
  <c r="K449" i="3"/>
  <c r="S447" i="1"/>
  <c r="R447" i="1"/>
  <c r="AA449" i="3"/>
  <c r="Z450" i="3" s="1"/>
  <c r="R556" i="3" l="1"/>
  <c r="AB556" i="3"/>
  <c r="Q556" i="3"/>
  <c r="M449" i="3"/>
  <c r="L449" i="3"/>
  <c r="O449" i="3" s="1"/>
  <c r="X449" i="3" s="1"/>
  <c r="T554" i="1" l="1"/>
  <c r="S556" i="3"/>
  <c r="V449" i="3"/>
  <c r="D450" i="3"/>
  <c r="N449" i="3"/>
  <c r="E450" i="3" s="1"/>
  <c r="M41" i="1"/>
  <c r="P554" i="1" l="1"/>
  <c r="T556" i="3"/>
  <c r="AD556" i="3"/>
  <c r="AC557" i="3" s="1"/>
  <c r="G450" i="3"/>
  <c r="Y450" i="3"/>
  <c r="F450" i="3"/>
  <c r="Q554" i="1" l="1"/>
  <c r="U556" i="3"/>
  <c r="U448" i="1"/>
  <c r="H450" i="3"/>
  <c r="P557" i="3" l="1"/>
  <c r="W556" i="3"/>
  <c r="R448" i="1"/>
  <c r="I450" i="3"/>
  <c r="AA450" i="3"/>
  <c r="Z451" i="3" s="1"/>
  <c r="R557" i="3" l="1"/>
  <c r="AB557" i="3"/>
  <c r="Q557" i="3"/>
  <c r="S448" i="1"/>
  <c r="K450" i="3"/>
  <c r="T555" i="1" l="1"/>
  <c r="S557" i="3"/>
  <c r="L450" i="3"/>
  <c r="O450" i="3" s="1"/>
  <c r="X450" i="3" s="1"/>
  <c r="M450" i="3"/>
  <c r="V450" i="3" s="1"/>
  <c r="P555" i="1" l="1"/>
  <c r="T557" i="3"/>
  <c r="AD557" i="3"/>
  <c r="AC558" i="3" s="1"/>
  <c r="D451" i="3"/>
  <c r="N450" i="3"/>
  <c r="E451" i="3" s="1"/>
  <c r="U557" i="3" l="1"/>
  <c r="W557" i="3" s="1"/>
  <c r="Q555" i="1"/>
  <c r="F451" i="3"/>
  <c r="Y451" i="3"/>
  <c r="G451" i="3"/>
  <c r="P558" i="3" l="1"/>
  <c r="L50" i="1"/>
  <c r="U449" i="1"/>
  <c r="H451" i="3"/>
  <c r="I451" i="3" s="1"/>
  <c r="Q558" i="3" l="1"/>
  <c r="R558" i="3"/>
  <c r="AB558" i="3"/>
  <c r="K451" i="3"/>
  <c r="S449" i="1"/>
  <c r="AA451" i="3"/>
  <c r="Z452" i="3" s="1"/>
  <c r="R449" i="1"/>
  <c r="T556" i="1" l="1"/>
  <c r="S558" i="3"/>
  <c r="T558" i="3" s="1"/>
  <c r="L451" i="3"/>
  <c r="O451" i="3" s="1"/>
  <c r="X451" i="3" s="1"/>
  <c r="M451" i="3"/>
  <c r="V451" i="3" s="1"/>
  <c r="U558" i="3" l="1"/>
  <c r="Q556" i="1"/>
  <c r="P556" i="1"/>
  <c r="AD558" i="3"/>
  <c r="AC559" i="3" s="1"/>
  <c r="N451" i="3"/>
  <c r="E452" i="3" s="1"/>
  <c r="D452" i="3"/>
  <c r="P559" i="3" l="1"/>
  <c r="W558" i="3"/>
  <c r="Y452" i="3"/>
  <c r="G452" i="3"/>
  <c r="U450" i="1" s="1"/>
  <c r="F452" i="3"/>
  <c r="Q559" i="3" l="1"/>
  <c r="AB559" i="3"/>
  <c r="R559" i="3"/>
  <c r="H452" i="3"/>
  <c r="AA452" i="3" s="1"/>
  <c r="Z453" i="3" s="1"/>
  <c r="T557" i="1" l="1"/>
  <c r="S559" i="3"/>
  <c r="T559" i="3" s="1"/>
  <c r="R450" i="1"/>
  <c r="I452" i="3"/>
  <c r="Q557" i="1" l="1"/>
  <c r="U559" i="3"/>
  <c r="AD559" i="3"/>
  <c r="AC560" i="3" s="1"/>
  <c r="P557" i="1"/>
  <c r="K452" i="3"/>
  <c r="S450" i="1"/>
  <c r="P560" i="3" l="1"/>
  <c r="W559" i="3"/>
  <c r="L452" i="3"/>
  <c r="O452" i="3" s="1"/>
  <c r="X452" i="3" s="1"/>
  <c r="M452" i="3"/>
  <c r="V452" i="3" s="1"/>
  <c r="AB560" i="3" l="1"/>
  <c r="R560" i="3"/>
  <c r="Q560" i="3"/>
  <c r="D453" i="3"/>
  <c r="N452" i="3"/>
  <c r="E453" i="3" s="1"/>
  <c r="S560" i="3" l="1"/>
  <c r="T560" i="3" s="1"/>
  <c r="T558" i="1"/>
  <c r="F453" i="3"/>
  <c r="G453" i="3"/>
  <c r="Y453" i="3"/>
  <c r="Q558" i="1" l="1"/>
  <c r="U560" i="3"/>
  <c r="P558" i="1"/>
  <c r="AD560" i="3"/>
  <c r="AC561" i="3" s="1"/>
  <c r="U451" i="1"/>
  <c r="H453" i="3"/>
  <c r="P561" i="3" l="1"/>
  <c r="W560" i="3"/>
  <c r="R451" i="1"/>
  <c r="I453" i="3"/>
  <c r="AA453" i="3"/>
  <c r="Z454" i="3" s="1"/>
  <c r="R561" i="3" l="1"/>
  <c r="AB561" i="3"/>
  <c r="Q561" i="3"/>
  <c r="K453" i="3"/>
  <c r="S451" i="1"/>
  <c r="T559" i="1" l="1"/>
  <c r="S561" i="3"/>
  <c r="L453" i="3"/>
  <c r="O453" i="3" s="1"/>
  <c r="X453" i="3" s="1"/>
  <c r="M453" i="3"/>
  <c r="V453" i="3" s="1"/>
  <c r="P559" i="1" l="1"/>
  <c r="T561" i="3"/>
  <c r="AD561" i="3"/>
  <c r="AC562" i="3" s="1"/>
  <c r="D454" i="3"/>
  <c r="N453" i="3"/>
  <c r="E454" i="3" s="1"/>
  <c r="U561" i="3" l="1"/>
  <c r="Q559" i="1"/>
  <c r="F454" i="3"/>
  <c r="Y454" i="3"/>
  <c r="G454" i="3"/>
  <c r="U452" i="1" s="1"/>
  <c r="P562" i="3" l="1"/>
  <c r="W561" i="3"/>
  <c r="H454" i="3"/>
  <c r="AA454" i="3" s="1"/>
  <c r="Z455" i="3" s="1"/>
  <c r="R562" i="3" l="1"/>
  <c r="AB562" i="3"/>
  <c r="Q562" i="3"/>
  <c r="R452" i="1"/>
  <c r="I454" i="3"/>
  <c r="T560" i="1" l="1"/>
  <c r="S562" i="3"/>
  <c r="K454" i="3"/>
  <c r="S452" i="1"/>
  <c r="P560" i="1" l="1"/>
  <c r="T562" i="3"/>
  <c r="AD562" i="3"/>
  <c r="AC563" i="3" s="1"/>
  <c r="L454" i="3"/>
  <c r="O454" i="3" s="1"/>
  <c r="X454" i="3" s="1"/>
  <c r="M454" i="3"/>
  <c r="V454" i="3" s="1"/>
  <c r="Q560" i="1" l="1"/>
  <c r="U562" i="3"/>
  <c r="D455" i="3"/>
  <c r="N454" i="3"/>
  <c r="E455" i="3" s="1"/>
  <c r="P563" i="3" l="1"/>
  <c r="W562" i="3"/>
  <c r="F455" i="3"/>
  <c r="G455" i="3"/>
  <c r="U453" i="1" s="1"/>
  <c r="Y455" i="3"/>
  <c r="Q563" i="3" l="1"/>
  <c r="R563" i="3"/>
  <c r="AB563" i="3"/>
  <c r="H455" i="3"/>
  <c r="AA455" i="3" s="1"/>
  <c r="Z456" i="3" s="1"/>
  <c r="T561" i="1" l="1"/>
  <c r="S563" i="3"/>
  <c r="R453" i="1"/>
  <c r="I455" i="3"/>
  <c r="P561" i="1" l="1"/>
  <c r="AD563" i="3"/>
  <c r="AC564" i="3" s="1"/>
  <c r="T563" i="3"/>
  <c r="K455" i="3"/>
  <c r="S453" i="1"/>
  <c r="Q561" i="1" l="1"/>
  <c r="U563" i="3"/>
  <c r="L455" i="3"/>
  <c r="O455" i="3" s="1"/>
  <c r="X455" i="3" s="1"/>
  <c r="M455" i="3"/>
  <c r="V455" i="3" s="1"/>
  <c r="D456" i="3"/>
  <c r="N455" i="3"/>
  <c r="E456" i="3" s="1"/>
  <c r="P564" i="3" l="1"/>
  <c r="W563" i="3"/>
  <c r="Y456" i="3"/>
  <c r="G456" i="3"/>
  <c r="F456" i="3"/>
  <c r="Q564" i="3" l="1"/>
  <c r="AB564" i="3"/>
  <c r="R564" i="3"/>
  <c r="H456" i="3"/>
  <c r="U454" i="1"/>
  <c r="S564" i="3" l="1"/>
  <c r="T562" i="1"/>
  <c r="R454" i="1"/>
  <c r="I456" i="3"/>
  <c r="AA456" i="3"/>
  <c r="Z457" i="3" s="1"/>
  <c r="P562" i="1" l="1"/>
  <c r="T564" i="3"/>
  <c r="AD564" i="3"/>
  <c r="AC565" i="3" s="1"/>
  <c r="K456" i="3"/>
  <c r="S454" i="1"/>
  <c r="Q562" i="1" l="1"/>
  <c r="U564" i="3"/>
  <c r="L456" i="3"/>
  <c r="O456" i="3" s="1"/>
  <c r="X456" i="3" s="1"/>
  <c r="M456" i="3"/>
  <c r="V456" i="3" s="1"/>
  <c r="P565" i="3" l="1"/>
  <c r="W564" i="3"/>
  <c r="R565" i="3"/>
  <c r="AB565" i="3"/>
  <c r="S565" i="3" s="1"/>
  <c r="Q565" i="3"/>
  <c r="N456" i="3"/>
  <c r="E457" i="3" s="1"/>
  <c r="D457" i="3"/>
  <c r="T565" i="3" l="1"/>
  <c r="T563" i="1"/>
  <c r="P563" i="1"/>
  <c r="AD565" i="3"/>
  <c r="AC566" i="3" s="1"/>
  <c r="Y457" i="3"/>
  <c r="F457" i="3"/>
  <c r="G457" i="3"/>
  <c r="U565" i="3" l="1"/>
  <c r="Q563" i="1"/>
  <c r="H457" i="3"/>
  <c r="U455" i="1"/>
  <c r="P566" i="3" l="1"/>
  <c r="W565" i="3"/>
  <c r="R455" i="1"/>
  <c r="I457" i="3"/>
  <c r="AA457" i="3"/>
  <c r="Z458" i="3" s="1"/>
  <c r="R566" i="3" l="1"/>
  <c r="Q566" i="3"/>
  <c r="AB566" i="3"/>
  <c r="S455" i="1"/>
  <c r="K457" i="3"/>
  <c r="T564" i="1" l="1"/>
  <c r="S566" i="3"/>
  <c r="L457" i="3"/>
  <c r="O457" i="3" s="1"/>
  <c r="X457" i="3" s="1"/>
  <c r="M457" i="3"/>
  <c r="V457" i="3" s="1"/>
  <c r="P564" i="1" l="1"/>
  <c r="T566" i="3"/>
  <c r="AD566" i="3"/>
  <c r="AC567" i="3" s="1"/>
  <c r="N457" i="3"/>
  <c r="E458" i="3" s="1"/>
  <c r="D458" i="3"/>
  <c r="Q564" i="1" l="1"/>
  <c r="U566" i="3"/>
  <c r="G458" i="3"/>
  <c r="F458" i="3"/>
  <c r="Y458" i="3"/>
  <c r="H458" i="3" l="1"/>
  <c r="P567" i="3"/>
  <c r="W566" i="3"/>
  <c r="I458" i="3"/>
  <c r="U456" i="1"/>
  <c r="R456" i="1"/>
  <c r="AA458" i="3"/>
  <c r="Z459" i="3" s="1"/>
  <c r="R567" i="3" l="1"/>
  <c r="AB567" i="3"/>
  <c r="Q567" i="3"/>
  <c r="K458" i="3"/>
  <c r="S456" i="1"/>
  <c r="T565" i="1" l="1"/>
  <c r="S567" i="3"/>
  <c r="M458" i="3"/>
  <c r="L458" i="3"/>
  <c r="O458" i="3" s="1"/>
  <c r="X458" i="3" s="1"/>
  <c r="P565" i="1" l="1"/>
  <c r="T567" i="3"/>
  <c r="AD567" i="3"/>
  <c r="AC568" i="3" s="1"/>
  <c r="D459" i="3"/>
  <c r="N458" i="3"/>
  <c r="E459" i="3" s="1"/>
  <c r="V458" i="3"/>
  <c r="Q565" i="1" l="1"/>
  <c r="U567" i="3"/>
  <c r="G459" i="3"/>
  <c r="F459" i="3"/>
  <c r="Y459" i="3"/>
  <c r="H459" i="3" l="1"/>
  <c r="P568" i="3"/>
  <c r="W567" i="3"/>
  <c r="I459" i="3"/>
  <c r="U457" i="1"/>
  <c r="R457" i="1"/>
  <c r="AA459" i="3"/>
  <c r="Z460" i="3" s="1"/>
  <c r="R568" i="3" l="1"/>
  <c r="AB568" i="3"/>
  <c r="Q568" i="3"/>
  <c r="K459" i="3"/>
  <c r="S457" i="1"/>
  <c r="T566" i="1" l="1"/>
  <c r="S568" i="3"/>
  <c r="L459" i="3"/>
  <c r="O459" i="3" s="1"/>
  <c r="X459" i="3" s="1"/>
  <c r="M459" i="3"/>
  <c r="P566" i="1" l="1"/>
  <c r="AD568" i="3"/>
  <c r="AC569" i="3" s="1"/>
  <c r="T568" i="3"/>
  <c r="U568" i="3"/>
  <c r="Q566" i="1"/>
  <c r="N459" i="3"/>
  <c r="E460" i="3" s="1"/>
  <c r="D460" i="3"/>
  <c r="V459" i="3"/>
  <c r="P569" i="3" l="1"/>
  <c r="W568" i="3"/>
  <c r="F460" i="3"/>
  <c r="Y460" i="3"/>
  <c r="G460" i="3"/>
  <c r="U458" i="1" s="1"/>
  <c r="Q569" i="3" l="1"/>
  <c r="R569" i="3"/>
  <c r="AB569" i="3"/>
  <c r="H460" i="3"/>
  <c r="AA460" i="3" s="1"/>
  <c r="Z461" i="3" s="1"/>
  <c r="T567" i="1" l="1"/>
  <c r="T569" i="3"/>
  <c r="S569" i="3"/>
  <c r="R458" i="1"/>
  <c r="I460" i="3"/>
  <c r="P567" i="1" l="1"/>
  <c r="AD569" i="3"/>
  <c r="AC570" i="3" s="1"/>
  <c r="U569" i="3"/>
  <c r="W569" i="3"/>
  <c r="Q567" i="1"/>
  <c r="K460" i="3"/>
  <c r="S458" i="1"/>
  <c r="L51" i="1" l="1"/>
  <c r="P570" i="3"/>
  <c r="L460" i="3"/>
  <c r="O460" i="3" s="1"/>
  <c r="X460" i="3" s="1"/>
  <c r="M460" i="3"/>
  <c r="Q570" i="3" l="1"/>
  <c r="R570" i="3"/>
  <c r="AB570" i="3"/>
  <c r="D461" i="3"/>
  <c r="N460" i="3"/>
  <c r="E461" i="3" s="1"/>
  <c r="V460" i="3"/>
  <c r="T568" i="1" l="1"/>
  <c r="S570" i="3"/>
  <c r="Y461" i="3"/>
  <c r="G461" i="3"/>
  <c r="F461" i="3"/>
  <c r="P568" i="1" l="1"/>
  <c r="T570" i="3"/>
  <c r="W570" i="3" s="1"/>
  <c r="AD570" i="3"/>
  <c r="AC571" i="3" s="1"/>
  <c r="U570" i="3"/>
  <c r="P571" i="3" s="1"/>
  <c r="Q568" i="1"/>
  <c r="H461" i="3"/>
  <c r="R459" i="1"/>
  <c r="AA461" i="3"/>
  <c r="Z462" i="3" s="1"/>
  <c r="I461" i="3"/>
  <c r="U459" i="1"/>
  <c r="R571" i="3" l="1"/>
  <c r="AB571" i="3"/>
  <c r="Q571" i="3"/>
  <c r="K461" i="3"/>
  <c r="S459" i="1"/>
  <c r="L461" i="3" l="1"/>
  <c r="O461" i="3" s="1"/>
  <c r="X461" i="3" s="1"/>
  <c r="M461" i="3"/>
  <c r="T569" i="1"/>
  <c r="S571" i="3"/>
  <c r="V461" i="3"/>
  <c r="D462" i="3"/>
  <c r="M42" i="1"/>
  <c r="N461" i="3"/>
  <c r="E462" i="3" s="1"/>
  <c r="P569" i="1" l="1"/>
  <c r="AD571" i="3"/>
  <c r="AC572" i="3" s="1"/>
  <c r="T571" i="3"/>
  <c r="U571" i="3" s="1"/>
  <c r="Q569" i="1"/>
  <c r="F462" i="3"/>
  <c r="G462" i="3"/>
  <c r="Y462" i="3"/>
  <c r="P572" i="3" l="1"/>
  <c r="W571" i="3"/>
  <c r="U460" i="1"/>
  <c r="H462" i="3"/>
  <c r="Q572" i="3" l="1"/>
  <c r="AB572" i="3"/>
  <c r="R572" i="3"/>
  <c r="R460" i="1"/>
  <c r="I462" i="3"/>
  <c r="AA462" i="3"/>
  <c r="Z463" i="3" s="1"/>
  <c r="T570" i="1" l="1"/>
  <c r="S572" i="3"/>
  <c r="T572" i="3" s="1"/>
  <c r="S460" i="1"/>
  <c r="K462" i="3"/>
  <c r="U572" i="3" l="1"/>
  <c r="P573" i="3" s="1"/>
  <c r="W572" i="3"/>
  <c r="Q570" i="1"/>
  <c r="AD572" i="3"/>
  <c r="AC573" i="3" s="1"/>
  <c r="P570" i="1"/>
  <c r="L462" i="3"/>
  <c r="O462" i="3" s="1"/>
  <c r="X462" i="3" s="1"/>
  <c r="M462" i="3"/>
  <c r="R573" i="3" l="1"/>
  <c r="Q573" i="3"/>
  <c r="AB573" i="3"/>
  <c r="S573" i="3" s="1"/>
  <c r="N462" i="3"/>
  <c r="E463" i="3" s="1"/>
  <c r="D463" i="3"/>
  <c r="V462" i="3"/>
  <c r="T573" i="3" l="1"/>
  <c r="T571" i="1"/>
  <c r="P571" i="1"/>
  <c r="AD573" i="3"/>
  <c r="AC574" i="3" s="1"/>
  <c r="F463" i="3"/>
  <c r="Y463" i="3"/>
  <c r="G463" i="3"/>
  <c r="U461" i="1" s="1"/>
  <c r="U573" i="3" l="1"/>
  <c r="Q571" i="1"/>
  <c r="H463" i="3"/>
  <c r="AA463" i="3" s="1"/>
  <c r="Z464" i="3" s="1"/>
  <c r="P574" i="3" l="1"/>
  <c r="W573" i="3"/>
  <c r="R461" i="1"/>
  <c r="I463" i="3"/>
  <c r="Q574" i="3" l="1"/>
  <c r="AB574" i="3"/>
  <c r="S574" i="3" s="1"/>
  <c r="R574" i="3"/>
  <c r="K463" i="3"/>
  <c r="S461" i="1"/>
  <c r="P572" i="1" l="1"/>
  <c r="AD574" i="3"/>
  <c r="AC575" i="3" s="1"/>
  <c r="T572" i="1"/>
  <c r="T574" i="3"/>
  <c r="L463" i="3"/>
  <c r="O463" i="3" s="1"/>
  <c r="X463" i="3" s="1"/>
  <c r="M463" i="3"/>
  <c r="V463" i="3" s="1"/>
  <c r="U574" i="3" l="1"/>
  <c r="Q572" i="1"/>
  <c r="N463" i="3"/>
  <c r="E464" i="3" s="1"/>
  <c r="D464" i="3"/>
  <c r="P575" i="3" l="1"/>
  <c r="W574" i="3"/>
  <c r="Y464" i="3"/>
  <c r="G464" i="3"/>
  <c r="F464" i="3"/>
  <c r="AB575" i="3" l="1"/>
  <c r="Q575" i="3"/>
  <c r="R575" i="3"/>
  <c r="T573" i="1" s="1"/>
  <c r="H464" i="3"/>
  <c r="R462" i="1"/>
  <c r="U462" i="1"/>
  <c r="S575" i="3" l="1"/>
  <c r="AD575" i="3" s="1"/>
  <c r="AC576" i="3" s="1"/>
  <c r="AA464" i="3"/>
  <c r="Z465" i="3" s="1"/>
  <c r="I464" i="3"/>
  <c r="K464" i="3"/>
  <c r="S462" i="1"/>
  <c r="P573" i="1" l="1"/>
  <c r="T575" i="3"/>
  <c r="L464" i="3"/>
  <c r="O464" i="3" s="1"/>
  <c r="X464" i="3" s="1"/>
  <c r="M464" i="3"/>
  <c r="U575" i="3" l="1"/>
  <c r="Q573" i="1"/>
  <c r="N464" i="3"/>
  <c r="E465" i="3" s="1"/>
  <c r="D465" i="3"/>
  <c r="V464" i="3"/>
  <c r="P576" i="3" l="1"/>
  <c r="W575" i="3"/>
  <c r="F465" i="3"/>
  <c r="Y465" i="3"/>
  <c r="G465" i="3"/>
  <c r="AB576" i="3" l="1"/>
  <c r="Q576" i="3"/>
  <c r="R576" i="3"/>
  <c r="H465" i="3"/>
  <c r="U463" i="1"/>
  <c r="T576" i="3" l="1"/>
  <c r="T574" i="1"/>
  <c r="S576" i="3"/>
  <c r="R463" i="1"/>
  <c r="AA465" i="3"/>
  <c r="Z466" i="3" s="1"/>
  <c r="I465" i="3"/>
  <c r="U576" i="3" l="1"/>
  <c r="Q574" i="1"/>
  <c r="AD576" i="3"/>
  <c r="AC577" i="3" s="1"/>
  <c r="P574" i="1"/>
  <c r="S463" i="1"/>
  <c r="K465" i="3"/>
  <c r="P577" i="3" l="1"/>
  <c r="W576" i="3"/>
  <c r="L465" i="3"/>
  <c r="O465" i="3" s="1"/>
  <c r="X465" i="3" s="1"/>
  <c r="M465" i="3"/>
  <c r="V465" i="3" s="1"/>
  <c r="AB577" i="3" l="1"/>
  <c r="S577" i="3" s="1"/>
  <c r="R577" i="3"/>
  <c r="Q577" i="3"/>
  <c r="D466" i="3"/>
  <c r="N465" i="3"/>
  <c r="E466" i="3" s="1"/>
  <c r="P575" i="1" l="1"/>
  <c r="AD577" i="3"/>
  <c r="AC578" i="3" s="1"/>
  <c r="T577" i="3"/>
  <c r="T575" i="1"/>
  <c r="G466" i="3"/>
  <c r="F466" i="3"/>
  <c r="Y466" i="3"/>
  <c r="H466" i="3" s="1"/>
  <c r="U577" i="3" l="1"/>
  <c r="Q575" i="1"/>
  <c r="I466" i="3"/>
  <c r="U464" i="1"/>
  <c r="R464" i="1"/>
  <c r="AA466" i="3"/>
  <c r="Z467" i="3" s="1"/>
  <c r="P578" i="3" l="1"/>
  <c r="W577" i="3"/>
  <c r="K466" i="3"/>
  <c r="S464" i="1"/>
  <c r="R578" i="3" l="1"/>
  <c r="T576" i="1" s="1"/>
  <c r="Q578" i="3"/>
  <c r="AB578" i="3"/>
  <c r="L466" i="3"/>
  <c r="O466" i="3" s="1"/>
  <c r="X466" i="3" s="1"/>
  <c r="M466" i="3"/>
  <c r="AD578" i="3" l="1"/>
  <c r="AC579" i="3" s="1"/>
  <c r="S578" i="3"/>
  <c r="D467" i="3"/>
  <c r="N466" i="3"/>
  <c r="E467" i="3" s="1"/>
  <c r="V466" i="3"/>
  <c r="P576" i="1" l="1"/>
  <c r="T578" i="3"/>
  <c r="G467" i="3"/>
  <c r="F467" i="3"/>
  <c r="Y467" i="3"/>
  <c r="U578" i="3" l="1"/>
  <c r="Q576" i="1"/>
  <c r="U465" i="1"/>
  <c r="H467" i="3"/>
  <c r="P579" i="3" l="1"/>
  <c r="W578" i="3"/>
  <c r="R465" i="1"/>
  <c r="AA467" i="3"/>
  <c r="Z468" i="3" s="1"/>
  <c r="I467" i="3"/>
  <c r="AB579" i="3" l="1"/>
  <c r="Q579" i="3"/>
  <c r="R579" i="3"/>
  <c r="K467" i="3"/>
  <c r="S465" i="1"/>
  <c r="S579" i="3" l="1"/>
  <c r="T577" i="1"/>
  <c r="L467" i="3"/>
  <c r="O467" i="3" s="1"/>
  <c r="X467" i="3" s="1"/>
  <c r="M467" i="3"/>
  <c r="V467" i="3" s="1"/>
  <c r="P577" i="1" l="1"/>
  <c r="T579" i="3"/>
  <c r="AD579" i="3"/>
  <c r="AC580" i="3" s="1"/>
  <c r="D468" i="3"/>
  <c r="N467" i="3"/>
  <c r="E468" i="3" s="1"/>
  <c r="Q577" i="1" l="1"/>
  <c r="U579" i="3"/>
  <c r="Y468" i="3"/>
  <c r="H468" i="3" s="1"/>
  <c r="G468" i="3"/>
  <c r="F468" i="3"/>
  <c r="P580" i="3" l="1"/>
  <c r="W579" i="3"/>
  <c r="R466" i="1"/>
  <c r="AA468" i="3"/>
  <c r="Z469" i="3" s="1"/>
  <c r="I468" i="3"/>
  <c r="U466" i="1"/>
  <c r="Q580" i="3" l="1"/>
  <c r="R580" i="3"/>
  <c r="AB580" i="3"/>
  <c r="S580" i="3" s="1"/>
  <c r="K468" i="3"/>
  <c r="S466" i="1"/>
  <c r="T578" i="1" l="1"/>
  <c r="T580" i="3"/>
  <c r="P578" i="1"/>
  <c r="AD580" i="3"/>
  <c r="AC581" i="3" s="1"/>
  <c r="L468" i="3"/>
  <c r="O468" i="3" s="1"/>
  <c r="X468" i="3" s="1"/>
  <c r="M468" i="3"/>
  <c r="U580" i="3" l="1"/>
  <c r="Q578" i="1"/>
  <c r="D469" i="3"/>
  <c r="N468" i="3"/>
  <c r="E469" i="3" s="1"/>
  <c r="V468" i="3"/>
  <c r="P581" i="3" l="1"/>
  <c r="W580" i="3"/>
  <c r="Y469" i="3"/>
  <c r="F469" i="3"/>
  <c r="G469" i="3"/>
  <c r="R581" i="3" l="1"/>
  <c r="AB581" i="3"/>
  <c r="S581" i="3" s="1"/>
  <c r="Q581" i="3"/>
  <c r="H469" i="3"/>
  <c r="U467" i="1"/>
  <c r="T581" i="3" l="1"/>
  <c r="T579" i="1"/>
  <c r="P579" i="1"/>
  <c r="AD581" i="3"/>
  <c r="AC582" i="3" s="1"/>
  <c r="R467" i="1"/>
  <c r="I469" i="3"/>
  <c r="AA469" i="3"/>
  <c r="Z470" i="3" s="1"/>
  <c r="K469" i="3" l="1"/>
  <c r="S467" i="1"/>
  <c r="U581" i="3"/>
  <c r="W581" i="3"/>
  <c r="Q579" i="1"/>
  <c r="L469" i="3"/>
  <c r="O469" i="3" s="1"/>
  <c r="X469" i="3" s="1"/>
  <c r="M469" i="3"/>
  <c r="V469" i="3" s="1"/>
  <c r="L52" i="1" l="1"/>
  <c r="P582" i="3"/>
  <c r="N469" i="3"/>
  <c r="E470" i="3" s="1"/>
  <c r="D470" i="3"/>
  <c r="Q582" i="3" l="1"/>
  <c r="AB582" i="3"/>
  <c r="R582" i="3"/>
  <c r="T580" i="1" s="1"/>
  <c r="Y470" i="3"/>
  <c r="G470" i="3"/>
  <c r="F470" i="3"/>
  <c r="S582" i="3" l="1"/>
  <c r="AD582" i="3" s="1"/>
  <c r="AC583" i="3" s="1"/>
  <c r="H470" i="3"/>
  <c r="U468" i="1"/>
  <c r="P580" i="1" l="1"/>
  <c r="T582" i="3"/>
  <c r="R468" i="1"/>
  <c r="AA470" i="3"/>
  <c r="Z471" i="3" s="1"/>
  <c r="I470" i="3"/>
  <c r="S468" i="1" s="1"/>
  <c r="K470" i="3"/>
  <c r="U582" i="3" l="1"/>
  <c r="Q580" i="1"/>
  <c r="L470" i="3"/>
  <c r="O470" i="3" s="1"/>
  <c r="X470" i="3" s="1"/>
  <c r="M470" i="3"/>
  <c r="V470" i="3" s="1"/>
  <c r="P583" i="3" l="1"/>
  <c r="W582" i="3"/>
  <c r="N470" i="3"/>
  <c r="E471" i="3" s="1"/>
  <c r="D471" i="3"/>
  <c r="Q583" i="3" l="1"/>
  <c r="AB583" i="3"/>
  <c r="S583" i="3" s="1"/>
  <c r="R583" i="3"/>
  <c r="Y471" i="3"/>
  <c r="F471" i="3"/>
  <c r="G471" i="3"/>
  <c r="P581" i="1" l="1"/>
  <c r="AD583" i="3"/>
  <c r="AC584" i="3" s="1"/>
  <c r="T583" i="3"/>
  <c r="T581" i="1"/>
  <c r="H471" i="3"/>
  <c r="U469" i="1"/>
  <c r="U583" i="3" l="1"/>
  <c r="Q581" i="1"/>
  <c r="R469" i="1"/>
  <c r="AA471" i="3"/>
  <c r="Z472" i="3" s="1"/>
  <c r="I471" i="3"/>
  <c r="P584" i="3" l="1"/>
  <c r="W583" i="3"/>
  <c r="S469" i="1"/>
  <c r="K471" i="3"/>
  <c r="AB584" i="3" l="1"/>
  <c r="R584" i="3"/>
  <c r="Q584" i="3"/>
  <c r="L471" i="3"/>
  <c r="O471" i="3" s="1"/>
  <c r="X471" i="3" s="1"/>
  <c r="M471" i="3"/>
  <c r="V471" i="3" s="1"/>
  <c r="AD584" i="3" l="1"/>
  <c r="AC585" i="3" s="1"/>
  <c r="S584" i="3"/>
  <c r="T582" i="1"/>
  <c r="N471" i="3"/>
  <c r="E472" i="3" s="1"/>
  <c r="D472" i="3"/>
  <c r="P582" i="1" l="1"/>
  <c r="T584" i="3"/>
  <c r="Y472" i="3"/>
  <c r="G472" i="3"/>
  <c r="F472" i="3"/>
  <c r="Q582" i="1" l="1"/>
  <c r="U584" i="3"/>
  <c r="H472" i="3"/>
  <c r="U470" i="1"/>
  <c r="P585" i="3" l="1"/>
  <c r="W584" i="3"/>
  <c r="R470" i="1"/>
  <c r="I472" i="3"/>
  <c r="AA472" i="3"/>
  <c r="Z473" i="3" s="1"/>
  <c r="R585" i="3" l="1"/>
  <c r="AB585" i="3"/>
  <c r="Q585" i="3"/>
  <c r="S470" i="1"/>
  <c r="K472" i="3"/>
  <c r="T583" i="1" l="1"/>
  <c r="S585" i="3"/>
  <c r="T585" i="3" s="1"/>
  <c r="L472" i="3"/>
  <c r="O472" i="3" s="1"/>
  <c r="X472" i="3" s="1"/>
  <c r="M472" i="3"/>
  <c r="V472" i="3" s="1"/>
  <c r="U585" i="3" l="1"/>
  <c r="Q583" i="1"/>
  <c r="P583" i="1"/>
  <c r="AD585" i="3"/>
  <c r="AC586" i="3" s="1"/>
  <c r="N472" i="3"/>
  <c r="E473" i="3" s="1"/>
  <c r="D473" i="3"/>
  <c r="P586" i="3" l="1"/>
  <c r="W585" i="3"/>
  <c r="G473" i="3"/>
  <c r="Y473" i="3"/>
  <c r="F473" i="3"/>
  <c r="Q586" i="3" l="1"/>
  <c r="R586" i="3"/>
  <c r="AB586" i="3"/>
  <c r="U471" i="1"/>
  <c r="H473" i="3"/>
  <c r="T586" i="3" l="1"/>
  <c r="T584" i="1"/>
  <c r="S586" i="3"/>
  <c r="R471" i="1"/>
  <c r="I473" i="3"/>
  <c r="AA473" i="3"/>
  <c r="Z474" i="3" s="1"/>
  <c r="Q584" i="1" l="1"/>
  <c r="U586" i="3"/>
  <c r="P584" i="1"/>
  <c r="AD586" i="3"/>
  <c r="AC587" i="3" s="1"/>
  <c r="S471" i="1"/>
  <c r="K473" i="3"/>
  <c r="P587" i="3" l="1"/>
  <c r="W586" i="3"/>
  <c r="L473" i="3"/>
  <c r="O473" i="3" s="1"/>
  <c r="X473" i="3" s="1"/>
  <c r="M473" i="3"/>
  <c r="V473" i="3"/>
  <c r="Q587" i="3" l="1"/>
  <c r="R587" i="3"/>
  <c r="AB587" i="3"/>
  <c r="D474" i="3"/>
  <c r="N473" i="3"/>
  <c r="E474" i="3" s="1"/>
  <c r="M43" i="1"/>
  <c r="T585" i="1" l="1"/>
  <c r="S587" i="3"/>
  <c r="T587" i="3" s="1"/>
  <c r="F474" i="3"/>
  <c r="Y474" i="3"/>
  <c r="G474" i="3"/>
  <c r="U587" i="3" l="1"/>
  <c r="Q585" i="1"/>
  <c r="P585" i="1"/>
  <c r="AD587" i="3"/>
  <c r="AC588" i="3" s="1"/>
  <c r="U472" i="1"/>
  <c r="H474" i="3"/>
  <c r="I474" i="3" s="1"/>
  <c r="P588" i="3" l="1"/>
  <c r="W587" i="3"/>
  <c r="K474" i="3"/>
  <c r="S472" i="1"/>
  <c r="AA474" i="3"/>
  <c r="Z475" i="3" s="1"/>
  <c r="R472" i="1"/>
  <c r="AB588" i="3" l="1"/>
  <c r="R588" i="3"/>
  <c r="Q588" i="3"/>
  <c r="L474" i="3"/>
  <c r="O474" i="3" s="1"/>
  <c r="X474" i="3" s="1"/>
  <c r="M474" i="3"/>
  <c r="V474" i="3" s="1"/>
  <c r="S588" i="3" l="1"/>
  <c r="T588" i="3"/>
  <c r="T586" i="1"/>
  <c r="D475" i="3"/>
  <c r="N474" i="3"/>
  <c r="E475" i="3" s="1"/>
  <c r="U588" i="3" l="1"/>
  <c r="Q586" i="1"/>
  <c r="P586" i="1"/>
  <c r="AD588" i="3"/>
  <c r="AC589" i="3" s="1"/>
  <c r="F475" i="3"/>
  <c r="Y475" i="3"/>
  <c r="G475" i="3"/>
  <c r="H475" i="3" l="1"/>
  <c r="P589" i="3"/>
  <c r="W588" i="3"/>
  <c r="U473" i="1"/>
  <c r="R473" i="1" l="1"/>
  <c r="AA475" i="3"/>
  <c r="Z476" i="3" s="1"/>
  <c r="I475" i="3"/>
  <c r="S473" i="1" s="1"/>
  <c r="AB589" i="3"/>
  <c r="Q589" i="3"/>
  <c r="R589" i="3"/>
  <c r="K475" i="3"/>
  <c r="L475" i="3" l="1"/>
  <c r="O475" i="3" s="1"/>
  <c r="X475" i="3" s="1"/>
  <c r="M475" i="3"/>
  <c r="V475" i="3" s="1"/>
  <c r="S589" i="3"/>
  <c r="T587" i="1"/>
  <c r="N475" i="3"/>
  <c r="E476" i="3" s="1"/>
  <c r="D476" i="3"/>
  <c r="P587" i="1" l="1"/>
  <c r="T589" i="3"/>
  <c r="AD589" i="3"/>
  <c r="AC590" i="3" s="1"/>
  <c r="Y476" i="3"/>
  <c r="G476" i="3"/>
  <c r="F476" i="3"/>
  <c r="Q587" i="1" l="1"/>
  <c r="W589" i="3"/>
  <c r="U589" i="3"/>
  <c r="P590" i="3" s="1"/>
  <c r="H476" i="3"/>
  <c r="U474" i="1"/>
  <c r="AB590" i="3" l="1"/>
  <c r="R590" i="3"/>
  <c r="Q590" i="3"/>
  <c r="R474" i="1"/>
  <c r="AA476" i="3"/>
  <c r="Z477" i="3" s="1"/>
  <c r="I476" i="3"/>
  <c r="S590" i="3" l="1"/>
  <c r="T588" i="1"/>
  <c r="S474" i="1"/>
  <c r="K476" i="3"/>
  <c r="M476" i="3" s="1"/>
  <c r="P588" i="1" l="1"/>
  <c r="T590" i="3"/>
  <c r="AD590" i="3"/>
  <c r="AC591" i="3" s="1"/>
  <c r="D477" i="3"/>
  <c r="N476" i="3"/>
  <c r="E477" i="3" s="1"/>
  <c r="L476" i="3"/>
  <c r="O476" i="3" s="1"/>
  <c r="X476" i="3" s="1"/>
  <c r="V476" i="3"/>
  <c r="Q588" i="1" l="1"/>
  <c r="U590" i="3"/>
  <c r="F477" i="3"/>
  <c r="Y477" i="3"/>
  <c r="G477" i="3"/>
  <c r="P591" i="3" l="1"/>
  <c r="W590" i="3"/>
  <c r="AB591" i="3"/>
  <c r="R591" i="3"/>
  <c r="T589" i="1" s="1"/>
  <c r="Q591" i="3"/>
  <c r="U475" i="1"/>
  <c r="H477" i="3"/>
  <c r="I477" i="3" s="1"/>
  <c r="S591" i="3" l="1"/>
  <c r="AD591" i="3" s="1"/>
  <c r="AC592" i="3" s="1"/>
  <c r="K477" i="3"/>
  <c r="S475" i="1"/>
  <c r="AA477" i="3"/>
  <c r="Z478" i="3" s="1"/>
  <c r="R475" i="1"/>
  <c r="P589" i="1" l="1"/>
  <c r="T591" i="3"/>
  <c r="L477" i="3"/>
  <c r="O477" i="3" s="1"/>
  <c r="X477" i="3" s="1"/>
  <c r="M477" i="3"/>
  <c r="V477" i="3"/>
  <c r="D478" i="3" l="1"/>
  <c r="N477" i="3"/>
  <c r="E478" i="3" s="1"/>
  <c r="U591" i="3"/>
  <c r="P592" i="3" s="1"/>
  <c r="W591" i="3"/>
  <c r="Q589" i="1"/>
  <c r="Y478" i="3"/>
  <c r="G478" i="3"/>
  <c r="F478" i="3"/>
  <c r="Q592" i="3" l="1"/>
  <c r="AB592" i="3"/>
  <c r="R592" i="3"/>
  <c r="H478" i="3"/>
  <c r="AA478" i="3" s="1"/>
  <c r="Z479" i="3" s="1"/>
  <c r="U476" i="1"/>
  <c r="T590" i="1" l="1"/>
  <c r="S592" i="3"/>
  <c r="T592" i="3" s="1"/>
  <c r="R476" i="1"/>
  <c r="I478" i="3"/>
  <c r="U592" i="3" l="1"/>
  <c r="Q590" i="1"/>
  <c r="AD592" i="3"/>
  <c r="AC593" i="3" s="1"/>
  <c r="P590" i="1"/>
  <c r="S476" i="1"/>
  <c r="K478" i="3"/>
  <c r="P593" i="3" l="1"/>
  <c r="W592" i="3"/>
  <c r="L478" i="3"/>
  <c r="O478" i="3" s="1"/>
  <c r="X478" i="3" s="1"/>
  <c r="M478" i="3"/>
  <c r="V478" i="3" s="1"/>
  <c r="Q593" i="3" l="1"/>
  <c r="R593" i="3"/>
  <c r="AB593" i="3"/>
  <c r="N478" i="3"/>
  <c r="E479" i="3" s="1"/>
  <c r="D479" i="3"/>
  <c r="T591" i="1" l="1"/>
  <c r="S593" i="3"/>
  <c r="G479" i="3"/>
  <c r="Y479" i="3"/>
  <c r="F479" i="3"/>
  <c r="P591" i="1" l="1"/>
  <c r="T593" i="3"/>
  <c r="AD593" i="3"/>
  <c r="AC594" i="3" s="1"/>
  <c r="U477" i="1"/>
  <c r="H479" i="3"/>
  <c r="I479" i="3" s="1"/>
  <c r="Q591" i="1" l="1"/>
  <c r="U593" i="3"/>
  <c r="W593" i="3" s="1"/>
  <c r="R477" i="1"/>
  <c r="AA479" i="3"/>
  <c r="Z480" i="3" s="1"/>
  <c r="K479" i="3"/>
  <c r="S477" i="1"/>
  <c r="L53" i="1" l="1"/>
  <c r="P594" i="3"/>
  <c r="L479" i="3"/>
  <c r="O479" i="3" s="1"/>
  <c r="X479" i="3" s="1"/>
  <c r="M479" i="3"/>
  <c r="Q594" i="3" l="1"/>
  <c r="R594" i="3"/>
  <c r="AB594" i="3"/>
  <c r="S594" i="3" s="1"/>
  <c r="N479" i="3"/>
  <c r="E480" i="3" s="1"/>
  <c r="D480" i="3"/>
  <c r="V479" i="3"/>
  <c r="T594" i="3" l="1"/>
  <c r="T592" i="1"/>
  <c r="P592" i="1"/>
  <c r="AD594" i="3"/>
  <c r="AC595" i="3" s="1"/>
  <c r="Y480" i="3"/>
  <c r="F480" i="3"/>
  <c r="G480" i="3"/>
  <c r="U594" i="3" l="1"/>
  <c r="Q592" i="1"/>
  <c r="H480" i="3"/>
  <c r="U478" i="1"/>
  <c r="P595" i="3" l="1"/>
  <c r="W594" i="3"/>
  <c r="R478" i="1"/>
  <c r="I480" i="3"/>
  <c r="AA480" i="3"/>
  <c r="Z481" i="3" s="1"/>
  <c r="AB595" i="3" l="1"/>
  <c r="Q595" i="3"/>
  <c r="R595" i="3"/>
  <c r="S478" i="1"/>
  <c r="K480" i="3"/>
  <c r="T593" i="1" l="1"/>
  <c r="S595" i="3"/>
  <c r="T595" i="3" s="1"/>
  <c r="L480" i="3"/>
  <c r="O480" i="3" s="1"/>
  <c r="X480" i="3" s="1"/>
  <c r="M480" i="3"/>
  <c r="V480" i="3" s="1"/>
  <c r="U595" i="3" l="1"/>
  <c r="Q593" i="1"/>
  <c r="AD595" i="3"/>
  <c r="AC596" i="3" s="1"/>
  <c r="P593" i="1"/>
  <c r="D481" i="3"/>
  <c r="N480" i="3"/>
  <c r="E481" i="3" s="1"/>
  <c r="P596" i="3" l="1"/>
  <c r="W595" i="3"/>
  <c r="F481" i="3"/>
  <c r="Y481" i="3"/>
  <c r="G481" i="3"/>
  <c r="AB596" i="3" l="1"/>
  <c r="R596" i="3"/>
  <c r="Q596" i="3"/>
  <c r="H481" i="3"/>
  <c r="U479" i="1"/>
  <c r="S596" i="3" l="1"/>
  <c r="T594" i="1"/>
  <c r="R479" i="1"/>
  <c r="AA481" i="3"/>
  <c r="Z482" i="3" s="1"/>
  <c r="I481" i="3"/>
  <c r="P594" i="1" l="1"/>
  <c r="AD596" i="3"/>
  <c r="AC597" i="3" s="1"/>
  <c r="T596" i="3"/>
  <c r="S479" i="1"/>
  <c r="K481" i="3"/>
  <c r="Q594" i="1" l="1"/>
  <c r="U596" i="3"/>
  <c r="L481" i="3"/>
  <c r="O481" i="3" s="1"/>
  <c r="X481" i="3" s="1"/>
  <c r="M481" i="3"/>
  <c r="P597" i="3" l="1"/>
  <c r="W596" i="3"/>
  <c r="N481" i="3"/>
  <c r="E482" i="3" s="1"/>
  <c r="D482" i="3"/>
  <c r="V481" i="3"/>
  <c r="Q597" i="3" l="1"/>
  <c r="AB597" i="3"/>
  <c r="R597" i="3"/>
  <c r="F482" i="3"/>
  <c r="Y482" i="3"/>
  <c r="G482" i="3"/>
  <c r="S597" i="3" l="1"/>
  <c r="T597" i="3"/>
  <c r="T595" i="1"/>
  <c r="H482" i="3"/>
  <c r="AA482" i="3"/>
  <c r="Z483" i="3" s="1"/>
  <c r="U480" i="1"/>
  <c r="R480" i="1" l="1"/>
  <c r="I482" i="3"/>
  <c r="U597" i="3"/>
  <c r="Q595" i="1"/>
  <c r="P595" i="1"/>
  <c r="AD597" i="3"/>
  <c r="AC598" i="3" s="1"/>
  <c r="K482" i="3"/>
  <c r="S480" i="1"/>
  <c r="P598" i="3" l="1"/>
  <c r="W597" i="3"/>
  <c r="L482" i="3"/>
  <c r="O482" i="3" s="1"/>
  <c r="X482" i="3" s="1"/>
  <c r="M482" i="3"/>
  <c r="V482" i="3" s="1"/>
  <c r="R598" i="3" l="1"/>
  <c r="Q598" i="3"/>
  <c r="AB598" i="3"/>
  <c r="S598" i="3" s="1"/>
  <c r="D483" i="3"/>
  <c r="N482" i="3"/>
  <c r="E483" i="3" s="1"/>
  <c r="T598" i="3" l="1"/>
  <c r="T596" i="1"/>
  <c r="P596" i="1"/>
  <c r="AD598" i="3"/>
  <c r="AC599" i="3" s="1"/>
  <c r="Y483" i="3"/>
  <c r="G483" i="3"/>
  <c r="F483" i="3"/>
  <c r="U598" i="3" l="1"/>
  <c r="Q596" i="1"/>
  <c r="H483" i="3"/>
  <c r="I483" i="3"/>
  <c r="U481" i="1"/>
  <c r="W598" i="3" l="1"/>
  <c r="P599" i="3"/>
  <c r="R481" i="1"/>
  <c r="AA483" i="3"/>
  <c r="Z484" i="3" s="1"/>
  <c r="K483" i="3"/>
  <c r="S481" i="1"/>
  <c r="R599" i="3" l="1"/>
  <c r="Q599" i="3"/>
  <c r="AB599" i="3"/>
  <c r="L483" i="3"/>
  <c r="O483" i="3" s="1"/>
  <c r="X483" i="3" s="1"/>
  <c r="M483" i="3"/>
  <c r="V483" i="3" s="1"/>
  <c r="N483" i="3"/>
  <c r="E484" i="3" s="1"/>
  <c r="D484" i="3"/>
  <c r="S599" i="3" l="1"/>
  <c r="P597" i="1" s="1"/>
  <c r="AD599" i="3"/>
  <c r="AC600" i="3" s="1"/>
  <c r="T597" i="1"/>
  <c r="T599" i="3"/>
  <c r="G484" i="3"/>
  <c r="U482" i="1" s="1"/>
  <c r="F484" i="3"/>
  <c r="Y484" i="3"/>
  <c r="Q597" i="1" l="1"/>
  <c r="U599" i="3"/>
  <c r="H484" i="3"/>
  <c r="AA484" i="3" s="1"/>
  <c r="Z485" i="3" s="1"/>
  <c r="P600" i="3" l="1"/>
  <c r="W599" i="3"/>
  <c r="AB600" i="3"/>
  <c r="R600" i="3"/>
  <c r="Q600" i="3"/>
  <c r="R482" i="1"/>
  <c r="I484" i="3"/>
  <c r="S600" i="3" l="1"/>
  <c r="T598" i="1"/>
  <c r="K484" i="3"/>
  <c r="S482" i="1"/>
  <c r="P598" i="1" l="1"/>
  <c r="AD600" i="3"/>
  <c r="AC601" i="3" s="1"/>
  <c r="T600" i="3"/>
  <c r="L484" i="3"/>
  <c r="O484" i="3" s="1"/>
  <c r="X484" i="3" s="1"/>
  <c r="M484" i="3"/>
  <c r="Q598" i="1" l="1"/>
  <c r="U600" i="3"/>
  <c r="N484" i="3"/>
  <c r="E485" i="3" s="1"/>
  <c r="D485" i="3"/>
  <c r="V484" i="3"/>
  <c r="W600" i="3" l="1"/>
  <c r="P601" i="3"/>
  <c r="F485" i="3"/>
  <c r="Y485" i="3"/>
  <c r="G485" i="3"/>
  <c r="R601" i="3" l="1"/>
  <c r="Q601" i="3"/>
  <c r="AB601" i="3"/>
  <c r="U483" i="1"/>
  <c r="H485" i="3"/>
  <c r="I485" i="3" s="1"/>
  <c r="T601" i="3" l="1"/>
  <c r="T599" i="1"/>
  <c r="AD601" i="3"/>
  <c r="AC602" i="3" s="1"/>
  <c r="S601" i="3"/>
  <c r="P599" i="1" s="1"/>
  <c r="K485" i="3"/>
  <c r="S483" i="1"/>
  <c r="AA485" i="3"/>
  <c r="Z486" i="3" s="1"/>
  <c r="R483" i="1"/>
  <c r="Q599" i="1" l="1"/>
  <c r="U601" i="3"/>
  <c r="L485" i="3"/>
  <c r="O485" i="3" s="1"/>
  <c r="X485" i="3" s="1"/>
  <c r="M485" i="3"/>
  <c r="V485" i="3" s="1"/>
  <c r="W601" i="3" l="1"/>
  <c r="P602" i="3"/>
  <c r="M44" i="1"/>
  <c r="D486" i="3"/>
  <c r="N485" i="3"/>
  <c r="E486" i="3" s="1"/>
  <c r="Q602" i="3" l="1"/>
  <c r="AB602" i="3"/>
  <c r="R602" i="3"/>
  <c r="T600" i="1" s="1"/>
  <c r="F486" i="3"/>
  <c r="Y486" i="3"/>
  <c r="G486" i="3"/>
  <c r="S602" i="3" l="1"/>
  <c r="AD602" i="3"/>
  <c r="AC603" i="3" s="1"/>
  <c r="H486" i="3"/>
  <c r="I486" i="3" s="1"/>
  <c r="U484" i="1"/>
  <c r="T602" i="3" l="1"/>
  <c r="P600" i="1"/>
  <c r="K486" i="3"/>
  <c r="S484" i="1"/>
  <c r="R484" i="1"/>
  <c r="AA486" i="3"/>
  <c r="Z487" i="3" s="1"/>
  <c r="Q600" i="1" l="1"/>
  <c r="U602" i="3"/>
  <c r="L486" i="3"/>
  <c r="O486" i="3" s="1"/>
  <c r="X486" i="3" s="1"/>
  <c r="M486" i="3"/>
  <c r="V486" i="3" s="1"/>
  <c r="P603" i="3" l="1"/>
  <c r="W602" i="3"/>
  <c r="N486" i="3"/>
  <c r="E487" i="3" s="1"/>
  <c r="D487" i="3"/>
  <c r="R603" i="3" l="1"/>
  <c r="Q603" i="3"/>
  <c r="AB603" i="3"/>
  <c r="F487" i="3"/>
  <c r="G487" i="3"/>
  <c r="Y487" i="3"/>
  <c r="H487" i="3" s="1"/>
  <c r="T601" i="1" l="1"/>
  <c r="T603" i="3"/>
  <c r="S603" i="3"/>
  <c r="P601" i="1" s="1"/>
  <c r="AD603" i="3"/>
  <c r="AC604" i="3" s="1"/>
  <c r="I487" i="3"/>
  <c r="U485" i="1"/>
  <c r="R485" i="1"/>
  <c r="AA487" i="3"/>
  <c r="Z488" i="3" s="1"/>
  <c r="Q601" i="1"/>
  <c r="U603" i="3"/>
  <c r="K487" i="3" l="1"/>
  <c r="S485" i="1"/>
  <c r="P604" i="3"/>
  <c r="W603" i="3"/>
  <c r="AB604" i="3" l="1"/>
  <c r="R604" i="3"/>
  <c r="Q604" i="3"/>
  <c r="L487" i="3"/>
  <c r="O487" i="3" s="1"/>
  <c r="X487" i="3" s="1"/>
  <c r="M487" i="3"/>
  <c r="S604" i="3" l="1"/>
  <c r="T602" i="1"/>
  <c r="N487" i="3"/>
  <c r="E488" i="3" s="1"/>
  <c r="D488" i="3"/>
  <c r="V487" i="3"/>
  <c r="F488" i="3" l="1"/>
  <c r="G488" i="3"/>
  <c r="Y488" i="3"/>
  <c r="H488" i="3" s="1"/>
  <c r="P602" i="1"/>
  <c r="T604" i="3"/>
  <c r="AD604" i="3"/>
  <c r="AC605" i="3" s="1"/>
  <c r="I488" i="3" l="1"/>
  <c r="U486" i="1"/>
  <c r="R486" i="1"/>
  <c r="AA488" i="3"/>
  <c r="Z489" i="3" s="1"/>
  <c r="U604" i="3"/>
  <c r="Q602" i="1"/>
  <c r="K488" i="3" l="1"/>
  <c r="M488" i="3" s="1"/>
  <c r="S486" i="1"/>
  <c r="P605" i="3"/>
  <c r="W604" i="3"/>
  <c r="N488" i="3" l="1"/>
  <c r="E489" i="3" s="1"/>
  <c r="D489" i="3"/>
  <c r="B10" i="1"/>
  <c r="B11" i="1" s="1"/>
  <c r="AB605" i="3"/>
  <c r="Q605" i="3"/>
  <c r="R605" i="3"/>
  <c r="L488" i="3"/>
  <c r="O488" i="3" s="1"/>
  <c r="X488" i="3" s="1"/>
  <c r="V488" i="3"/>
  <c r="Y489" i="3" l="1"/>
  <c r="G489" i="3"/>
  <c r="F489" i="3"/>
  <c r="S605" i="3"/>
  <c r="B7" i="1"/>
  <c r="T603" i="1"/>
  <c r="B13" i="1"/>
  <c r="H489" i="3" l="1"/>
  <c r="U487" i="1"/>
  <c r="P603" i="1"/>
  <c r="B6" i="1"/>
  <c r="AD605" i="3"/>
  <c r="B35" i="4" s="1"/>
  <c r="T605" i="3"/>
  <c r="B21" i="4" l="1"/>
  <c r="U605" i="3"/>
  <c r="W605" i="3" s="1"/>
  <c r="Q603" i="1"/>
  <c r="R487" i="1"/>
  <c r="I489" i="3"/>
  <c r="AA489" i="3"/>
  <c r="Z490" i="3" s="1"/>
  <c r="B23" i="4" l="1"/>
  <c r="L54" i="1"/>
  <c r="S487" i="1"/>
  <c r="K489" i="3"/>
  <c r="L489" i="3" l="1"/>
  <c r="O489" i="3" s="1"/>
  <c r="X489" i="3" s="1"/>
  <c r="M489" i="3"/>
  <c r="V489" i="3" s="1"/>
  <c r="N489" i="3" l="1"/>
  <c r="E490" i="3" s="1"/>
  <c r="D490" i="3"/>
  <c r="G490" i="3" l="1"/>
  <c r="F490" i="3"/>
  <c r="Y490" i="3"/>
  <c r="H490" i="3" s="1"/>
  <c r="I490" i="3" l="1"/>
  <c r="U488" i="1"/>
  <c r="R488" i="1"/>
  <c r="AA490" i="3"/>
  <c r="Z491" i="3" s="1"/>
  <c r="K490" i="3" l="1"/>
  <c r="S488" i="1"/>
  <c r="L490" i="3" l="1"/>
  <c r="O490" i="3" s="1"/>
  <c r="X490" i="3" s="1"/>
  <c r="M490" i="3"/>
  <c r="V490" i="3" s="1"/>
  <c r="N490" i="3" l="1"/>
  <c r="E491" i="3" s="1"/>
  <c r="D491" i="3"/>
  <c r="G491" i="3" l="1"/>
  <c r="U489" i="1" s="1"/>
  <c r="F491" i="3"/>
  <c r="Y491" i="3"/>
  <c r="H491" i="3" l="1"/>
  <c r="AA491" i="3" s="1"/>
  <c r="Z492" i="3" s="1"/>
  <c r="R489" i="1" l="1"/>
  <c r="I491" i="3"/>
  <c r="K491" i="3" l="1"/>
  <c r="S489" i="1"/>
  <c r="L491" i="3" l="1"/>
  <c r="O491" i="3" s="1"/>
  <c r="X491" i="3" s="1"/>
  <c r="M491" i="3"/>
  <c r="D492" i="3" l="1"/>
  <c r="N491" i="3"/>
  <c r="E492" i="3" s="1"/>
  <c r="V491" i="3"/>
  <c r="F492" i="3" l="1"/>
  <c r="G492" i="3"/>
  <c r="Y492" i="3"/>
  <c r="U490" i="1" l="1"/>
  <c r="H492" i="3"/>
  <c r="R490" i="1" l="1"/>
  <c r="I492" i="3"/>
  <c r="AA492" i="3"/>
  <c r="Z493" i="3" s="1"/>
  <c r="S490" i="1" l="1"/>
  <c r="K492" i="3"/>
  <c r="M492" i="3" l="1"/>
  <c r="L492" i="3"/>
  <c r="O492" i="3" s="1"/>
  <c r="X492" i="3" s="1"/>
  <c r="V492" i="3" l="1"/>
  <c r="N492" i="3"/>
  <c r="E493" i="3" s="1"/>
  <c r="D493" i="3"/>
  <c r="F493" i="3" l="1"/>
  <c r="Y493" i="3"/>
  <c r="G493" i="3"/>
  <c r="H493" i="3" l="1"/>
  <c r="U491" i="1"/>
  <c r="R491" i="1" l="1"/>
  <c r="AA493" i="3"/>
  <c r="Z494" i="3" s="1"/>
  <c r="I493" i="3"/>
  <c r="S491" i="1" l="1"/>
  <c r="K493" i="3"/>
  <c r="L493" i="3" l="1"/>
  <c r="O493" i="3" s="1"/>
  <c r="X493" i="3" s="1"/>
  <c r="M493" i="3"/>
  <c r="V493" i="3" s="1"/>
  <c r="D494" i="3" l="1"/>
  <c r="N493" i="3"/>
  <c r="E494" i="3" s="1"/>
  <c r="G494" i="3" l="1"/>
  <c r="F494" i="3"/>
  <c r="Y494" i="3"/>
  <c r="H494" i="3" s="1"/>
  <c r="I494" i="3" l="1"/>
  <c r="U492" i="1"/>
  <c r="R492" i="1"/>
  <c r="AA494" i="3"/>
  <c r="Z495" i="3" s="1"/>
  <c r="K494" i="3" l="1"/>
  <c r="S492" i="1"/>
  <c r="M494" i="3" l="1"/>
  <c r="L494" i="3"/>
  <c r="O494" i="3" s="1"/>
  <c r="X494" i="3" s="1"/>
  <c r="V494" i="3" l="1"/>
  <c r="N494" i="3"/>
  <c r="E495" i="3" s="1"/>
  <c r="D495" i="3"/>
  <c r="G495" i="3" l="1"/>
  <c r="F495" i="3"/>
  <c r="Y495" i="3"/>
  <c r="U493" i="1" l="1"/>
  <c r="H495" i="3"/>
  <c r="R493" i="1" l="1"/>
  <c r="AA495" i="3"/>
  <c r="Z496" i="3" s="1"/>
  <c r="I495" i="3"/>
  <c r="S493" i="1" l="1"/>
  <c r="K495" i="3"/>
  <c r="L495" i="3" l="1"/>
  <c r="O495" i="3" s="1"/>
  <c r="X495" i="3" s="1"/>
  <c r="M495" i="3"/>
  <c r="V495" i="3" s="1"/>
  <c r="D496" i="3" l="1"/>
  <c r="N495" i="3"/>
  <c r="E496" i="3" s="1"/>
  <c r="Y496" i="3" l="1"/>
  <c r="H496" i="3" s="1"/>
  <c r="F496" i="3"/>
  <c r="G496" i="3"/>
  <c r="R494" i="1" l="1"/>
  <c r="AA496" i="3"/>
  <c r="Z497" i="3" s="1"/>
  <c r="I496" i="3"/>
  <c r="U494" i="1"/>
  <c r="K496" i="3" l="1"/>
  <c r="S494" i="1"/>
  <c r="L496" i="3" l="1"/>
  <c r="O496" i="3" s="1"/>
  <c r="X496" i="3" s="1"/>
  <c r="M496" i="3"/>
  <c r="V496" i="3" s="1"/>
  <c r="D497" i="3" l="1"/>
  <c r="N496" i="3"/>
  <c r="E497" i="3" s="1"/>
  <c r="Y497" i="3" l="1"/>
  <c r="G497" i="3"/>
  <c r="F497" i="3"/>
  <c r="H497" i="3" l="1"/>
  <c r="U495" i="1"/>
  <c r="R495" i="1" l="1"/>
  <c r="I497" i="3"/>
  <c r="AA497" i="3"/>
  <c r="Z498" i="3" s="1"/>
  <c r="S495" i="1" l="1"/>
  <c r="K497" i="3"/>
  <c r="L497" i="3" l="1"/>
  <c r="O497" i="3" s="1"/>
  <c r="X497" i="3" s="1"/>
  <c r="M497" i="3"/>
  <c r="M45" i="1" l="1"/>
  <c r="D498" i="3"/>
  <c r="N497" i="3"/>
  <c r="E498" i="3" s="1"/>
  <c r="V497" i="3"/>
  <c r="F498" i="3" l="1"/>
  <c r="Y498" i="3"/>
  <c r="G498" i="3"/>
  <c r="H498" i="3" l="1"/>
  <c r="AA498" i="3" s="1"/>
  <c r="Z499" i="3" s="1"/>
  <c r="U496" i="1"/>
  <c r="R496" i="1" l="1"/>
  <c r="I498" i="3"/>
  <c r="S496" i="1" l="1"/>
  <c r="K498" i="3"/>
  <c r="M498" i="3" l="1"/>
  <c r="L498" i="3"/>
  <c r="O498" i="3" s="1"/>
  <c r="X498" i="3" s="1"/>
  <c r="V498" i="3" l="1"/>
  <c r="N498" i="3"/>
  <c r="E499" i="3" s="1"/>
  <c r="D499" i="3"/>
  <c r="G499" i="3" l="1"/>
  <c r="F499" i="3"/>
  <c r="Y499" i="3"/>
  <c r="U497" i="1" l="1"/>
  <c r="H499" i="3"/>
  <c r="R497" i="1" l="1"/>
  <c r="I499" i="3"/>
  <c r="AA499" i="3"/>
  <c r="Z500" i="3" s="1"/>
  <c r="S497" i="1" l="1"/>
  <c r="K499" i="3"/>
  <c r="M499" i="3" l="1"/>
  <c r="L499" i="3"/>
  <c r="O499" i="3" s="1"/>
  <c r="X499" i="3" s="1"/>
  <c r="V499" i="3" l="1"/>
  <c r="N499" i="3"/>
  <c r="E500" i="3" s="1"/>
  <c r="D500" i="3"/>
  <c r="Y500" i="3" l="1"/>
  <c r="F500" i="3"/>
  <c r="G500" i="3"/>
  <c r="U498" i="1" s="1"/>
  <c r="H500" i="3" l="1"/>
  <c r="AA500" i="3" s="1"/>
  <c r="Z501" i="3" s="1"/>
  <c r="R498" i="1" l="1"/>
  <c r="I500" i="3"/>
  <c r="K500" i="3" l="1"/>
  <c r="S498" i="1"/>
  <c r="M500" i="3" l="1"/>
  <c r="L500" i="3"/>
  <c r="O500" i="3" s="1"/>
  <c r="X500" i="3" s="1"/>
  <c r="V500" i="3" l="1"/>
  <c r="D501" i="3"/>
  <c r="N500" i="3"/>
  <c r="E501" i="3" s="1"/>
  <c r="Y501" i="3" l="1"/>
  <c r="F501" i="3"/>
  <c r="G501" i="3"/>
  <c r="H501" i="3" l="1"/>
  <c r="U499" i="1"/>
  <c r="R499" i="1" l="1"/>
  <c r="AA501" i="3"/>
  <c r="Z502" i="3" s="1"/>
  <c r="I501" i="3"/>
  <c r="S499" i="1"/>
  <c r="K501" i="3" l="1"/>
  <c r="M501" i="3"/>
  <c r="L501" i="3" l="1"/>
  <c r="O501" i="3" s="1"/>
  <c r="X501" i="3" s="1"/>
  <c r="V501" i="3"/>
  <c r="D502" i="3"/>
  <c r="N501" i="3"/>
  <c r="E502" i="3" s="1"/>
  <c r="G502" i="3"/>
  <c r="Y502" i="3"/>
  <c r="F502" i="3"/>
  <c r="U500" i="1" l="1"/>
  <c r="H502" i="3"/>
  <c r="R500" i="1" l="1"/>
  <c r="I502" i="3"/>
  <c r="AA502" i="3"/>
  <c r="Z503" i="3" s="1"/>
  <c r="K502" i="3"/>
  <c r="S500" i="1"/>
  <c r="L502" i="3" l="1"/>
  <c r="O502" i="3" s="1"/>
  <c r="X502" i="3" s="1"/>
  <c r="M502" i="3"/>
  <c r="V502" i="3"/>
  <c r="N502" i="3" l="1"/>
  <c r="E503" i="3" s="1"/>
  <c r="D503" i="3"/>
  <c r="Y503" i="3" l="1"/>
  <c r="G503" i="3"/>
  <c r="F503" i="3"/>
  <c r="H503" i="3" l="1"/>
  <c r="I503" i="3" s="1"/>
  <c r="U501" i="1"/>
  <c r="K503" i="3" l="1"/>
  <c r="S501" i="1"/>
  <c r="R501" i="1"/>
  <c r="AA503" i="3"/>
  <c r="Z504" i="3" s="1"/>
  <c r="L503" i="3" l="1"/>
  <c r="O503" i="3" s="1"/>
  <c r="X503" i="3" s="1"/>
  <c r="M503" i="3"/>
  <c r="D504" i="3" l="1"/>
  <c r="N503" i="3"/>
  <c r="E504" i="3" s="1"/>
  <c r="V503" i="3"/>
  <c r="Y504" i="3" l="1"/>
  <c r="F504" i="3"/>
  <c r="G504" i="3"/>
  <c r="H504" i="3" l="1"/>
  <c r="U502" i="1"/>
  <c r="R502" i="1" l="1"/>
  <c r="AA504" i="3"/>
  <c r="Z505" i="3" s="1"/>
  <c r="I504" i="3"/>
  <c r="S502" i="1" s="1"/>
  <c r="K504" i="3"/>
  <c r="L504" i="3" l="1"/>
  <c r="O504" i="3" s="1"/>
  <c r="X504" i="3" s="1"/>
  <c r="M504" i="3"/>
  <c r="V504" i="3" s="1"/>
  <c r="N504" i="3" l="1"/>
  <c r="E505" i="3" s="1"/>
  <c r="D505" i="3"/>
  <c r="Y505" i="3" l="1"/>
  <c r="G505" i="3"/>
  <c r="F505" i="3"/>
  <c r="H505" i="3" l="1"/>
  <c r="AA505" i="3" s="1"/>
  <c r="Z506" i="3" s="1"/>
  <c r="U503" i="1"/>
  <c r="R503" i="1" l="1"/>
  <c r="I505" i="3"/>
  <c r="S503" i="1" l="1"/>
  <c r="K505" i="3"/>
  <c r="L505" i="3" l="1"/>
  <c r="O505" i="3" s="1"/>
  <c r="X505" i="3" s="1"/>
  <c r="M505" i="3"/>
  <c r="V505" i="3" s="1"/>
  <c r="N505" i="3" l="1"/>
  <c r="E506" i="3" s="1"/>
  <c r="D506" i="3"/>
  <c r="F506" i="3" l="1"/>
  <c r="G506" i="3"/>
  <c r="U504" i="1" s="1"/>
  <c r="Y506" i="3"/>
  <c r="H506" i="3" l="1"/>
  <c r="AA506" i="3" s="1"/>
  <c r="Z507" i="3" s="1"/>
  <c r="R504" i="1" l="1"/>
  <c r="I506" i="3"/>
  <c r="K506" i="3" l="1"/>
  <c r="S504" i="1"/>
  <c r="L506" i="3" l="1"/>
  <c r="O506" i="3" s="1"/>
  <c r="X506" i="3" s="1"/>
  <c r="M506" i="3"/>
  <c r="N506" i="3" l="1"/>
  <c r="E507" i="3" s="1"/>
  <c r="D507" i="3"/>
  <c r="V506" i="3"/>
  <c r="F507" i="3" l="1"/>
  <c r="Y507" i="3"/>
  <c r="G507" i="3"/>
  <c r="U505" i="1" s="1"/>
  <c r="H507" i="3" l="1"/>
  <c r="AA507" i="3" s="1"/>
  <c r="Z508" i="3" s="1"/>
  <c r="R505" i="1" l="1"/>
  <c r="I507" i="3"/>
  <c r="K507" i="3" l="1"/>
  <c r="S505" i="1"/>
  <c r="L507" i="3" l="1"/>
  <c r="O507" i="3" s="1"/>
  <c r="X507" i="3" s="1"/>
  <c r="M507" i="3"/>
  <c r="D508" i="3" l="1"/>
  <c r="N507" i="3"/>
  <c r="E508" i="3" s="1"/>
  <c r="V507" i="3"/>
  <c r="F508" i="3" l="1"/>
  <c r="Y508" i="3"/>
  <c r="G508" i="3"/>
  <c r="H508" i="3" l="1"/>
  <c r="U506" i="1"/>
  <c r="R506" i="1" l="1"/>
  <c r="I508" i="3"/>
  <c r="AA508" i="3"/>
  <c r="Z509" i="3" s="1"/>
  <c r="S506" i="1" l="1"/>
  <c r="K508" i="3"/>
  <c r="L508" i="3" l="1"/>
  <c r="O508" i="3" s="1"/>
  <c r="X508" i="3" s="1"/>
  <c r="M508" i="3"/>
  <c r="V508" i="3" s="1"/>
  <c r="N508" i="3" l="1"/>
  <c r="E509" i="3" s="1"/>
  <c r="D509" i="3"/>
  <c r="Y509" i="3" l="1"/>
  <c r="F509" i="3"/>
  <c r="G509" i="3"/>
  <c r="H509" i="3" l="1"/>
  <c r="U507" i="1"/>
  <c r="R507" i="1" l="1"/>
  <c r="AA509" i="3"/>
  <c r="Z510" i="3" s="1"/>
  <c r="I509" i="3"/>
  <c r="S507" i="1" l="1"/>
  <c r="K509" i="3"/>
  <c r="L509" i="3" l="1"/>
  <c r="O509" i="3" s="1"/>
  <c r="X509" i="3" s="1"/>
  <c r="M509" i="3"/>
  <c r="V509" i="3" s="1"/>
  <c r="N509" i="3" l="1"/>
  <c r="E510" i="3" s="1"/>
  <c r="M46" i="1"/>
  <c r="D510" i="3"/>
  <c r="G510" i="3" l="1"/>
  <c r="F510" i="3"/>
  <c r="Y510" i="3"/>
  <c r="H510" i="3" l="1"/>
  <c r="R508" i="1" s="1"/>
  <c r="I510" i="3"/>
  <c r="U508" i="1"/>
  <c r="AA510" i="3"/>
  <c r="Z511" i="3" s="1"/>
  <c r="K510" i="3" l="1"/>
  <c r="S508" i="1"/>
  <c r="L510" i="3" l="1"/>
  <c r="O510" i="3" s="1"/>
  <c r="X510" i="3" s="1"/>
  <c r="M510" i="3"/>
  <c r="V510" i="3" s="1"/>
  <c r="D511" i="3" l="1"/>
  <c r="N510" i="3"/>
  <c r="E511" i="3" s="1"/>
  <c r="Y511" i="3" l="1"/>
  <c r="F511" i="3"/>
  <c r="G511" i="3"/>
  <c r="H511" i="3" l="1"/>
  <c r="U509" i="1"/>
  <c r="R509" i="1" l="1"/>
  <c r="AA511" i="3"/>
  <c r="Z512" i="3" s="1"/>
  <c r="I511" i="3"/>
  <c r="S509" i="1" l="1"/>
  <c r="K511" i="3"/>
  <c r="L511" i="3" l="1"/>
  <c r="O511" i="3" s="1"/>
  <c r="X511" i="3" s="1"/>
  <c r="M511" i="3"/>
  <c r="D512" i="3"/>
  <c r="V511" i="3" l="1"/>
  <c r="N511" i="3"/>
  <c r="E512" i="3" s="1"/>
  <c r="G512" i="3"/>
  <c r="F512" i="3"/>
  <c r="Y512" i="3"/>
  <c r="U510" i="1" l="1"/>
  <c r="H512" i="3"/>
  <c r="AA512" i="3" s="1"/>
  <c r="Z513" i="3" s="1"/>
  <c r="R510" i="1" l="1"/>
  <c r="I512" i="3"/>
  <c r="S510" i="1" l="1"/>
  <c r="K512" i="3"/>
  <c r="L512" i="3" l="1"/>
  <c r="O512" i="3" s="1"/>
  <c r="X512" i="3" s="1"/>
  <c r="M512" i="3"/>
  <c r="V512" i="3" s="1"/>
  <c r="D513" i="3" l="1"/>
  <c r="N512" i="3"/>
  <c r="E513" i="3" s="1"/>
  <c r="F513" i="3" l="1"/>
  <c r="G513" i="3"/>
  <c r="Y513" i="3"/>
  <c r="U511" i="1" l="1"/>
  <c r="H513" i="3"/>
  <c r="R511" i="1" l="1"/>
  <c r="I513" i="3"/>
  <c r="AA513" i="3"/>
  <c r="Z514" i="3" s="1"/>
  <c r="S511" i="1" l="1"/>
  <c r="K513" i="3"/>
  <c r="L513" i="3" l="1"/>
  <c r="O513" i="3" s="1"/>
  <c r="X513" i="3" s="1"/>
  <c r="M513" i="3"/>
  <c r="N513" i="3" l="1"/>
  <c r="E514" i="3" s="1"/>
  <c r="D514" i="3"/>
  <c r="V513" i="3"/>
  <c r="G514" i="3" l="1"/>
  <c r="Y514" i="3"/>
  <c r="F514" i="3"/>
  <c r="U512" i="1" l="1"/>
  <c r="H514" i="3"/>
  <c r="R512" i="1" l="1"/>
  <c r="I514" i="3"/>
  <c r="AA514" i="3"/>
  <c r="Z515" i="3" s="1"/>
  <c r="S512" i="1" l="1"/>
  <c r="K514" i="3"/>
  <c r="L514" i="3" l="1"/>
  <c r="O514" i="3" s="1"/>
  <c r="X514" i="3" s="1"/>
  <c r="M514" i="3"/>
  <c r="V514" i="3" s="1"/>
  <c r="D515" i="3" l="1"/>
  <c r="N514" i="3"/>
  <c r="E515" i="3" s="1"/>
  <c r="Y515" i="3" l="1"/>
  <c r="G515" i="3"/>
  <c r="F515" i="3"/>
  <c r="H515" i="3" l="1"/>
  <c r="U513" i="1"/>
  <c r="R513" i="1" l="1"/>
  <c r="I515" i="3"/>
  <c r="AA515" i="3"/>
  <c r="Z516" i="3" s="1"/>
  <c r="S513" i="1" l="1"/>
  <c r="K515" i="3"/>
  <c r="L515" i="3" l="1"/>
  <c r="O515" i="3" s="1"/>
  <c r="X515" i="3" s="1"/>
  <c r="M515" i="3"/>
  <c r="V515" i="3"/>
  <c r="D516" i="3" l="1"/>
  <c r="N515" i="3"/>
  <c r="E516" i="3" s="1"/>
  <c r="F516" i="3" l="1"/>
  <c r="Y516" i="3"/>
  <c r="G516" i="3"/>
  <c r="H516" i="3" l="1"/>
  <c r="U514" i="1"/>
  <c r="R514" i="1" l="1"/>
  <c r="I516" i="3"/>
  <c r="AA516" i="3"/>
  <c r="Z517" i="3" s="1"/>
  <c r="K516" i="3" l="1"/>
  <c r="S514" i="1"/>
  <c r="L516" i="3" l="1"/>
  <c r="O516" i="3" s="1"/>
  <c r="X516" i="3" s="1"/>
  <c r="M516" i="3"/>
  <c r="V516" i="3" s="1"/>
  <c r="N516" i="3"/>
  <c r="E517" i="3" s="1"/>
  <c r="D517" i="3"/>
  <c r="F517" i="3" l="1"/>
  <c r="G517" i="3"/>
  <c r="Y517" i="3"/>
  <c r="U515" i="1" l="1"/>
  <c r="H517" i="3"/>
  <c r="R515" i="1" l="1"/>
  <c r="I517" i="3"/>
  <c r="AA517" i="3"/>
  <c r="Z518" i="3" s="1"/>
  <c r="K517" i="3"/>
  <c r="S515" i="1"/>
  <c r="L517" i="3" l="1"/>
  <c r="O517" i="3" s="1"/>
  <c r="X517" i="3" s="1"/>
  <c r="M517" i="3"/>
  <c r="V517" i="3" s="1"/>
  <c r="D518" i="3" l="1"/>
  <c r="N517" i="3"/>
  <c r="E518" i="3" s="1"/>
  <c r="F518" i="3" l="1"/>
  <c r="Y518" i="3"/>
  <c r="G518" i="3"/>
  <c r="H518" i="3" l="1"/>
  <c r="U516" i="1"/>
  <c r="R516" i="1" l="1"/>
  <c r="AA518" i="3"/>
  <c r="Z519" i="3" s="1"/>
  <c r="I518" i="3"/>
  <c r="K518" i="3"/>
  <c r="S516" i="1"/>
  <c r="L518" i="3" l="1"/>
  <c r="O518" i="3" s="1"/>
  <c r="X518" i="3" s="1"/>
  <c r="M518" i="3"/>
  <c r="V518" i="3" s="1"/>
  <c r="N518" i="3" l="1"/>
  <c r="E519" i="3" s="1"/>
  <c r="D519" i="3"/>
  <c r="F519" i="3" l="1"/>
  <c r="G519" i="3"/>
  <c r="Y519" i="3"/>
  <c r="U517" i="1" l="1"/>
  <c r="H519" i="3"/>
  <c r="I519" i="3" s="1"/>
  <c r="K519" i="3" l="1"/>
  <c r="S517" i="1"/>
  <c r="R517" i="1"/>
  <c r="AA519" i="3"/>
  <c r="Z520" i="3" s="1"/>
  <c r="L519" i="3" l="1"/>
  <c r="O519" i="3" s="1"/>
  <c r="X519" i="3" s="1"/>
  <c r="M519" i="3"/>
  <c r="D520" i="3" s="1"/>
  <c r="V519" i="3"/>
  <c r="N519" i="3"/>
  <c r="E520" i="3" s="1"/>
  <c r="G520" i="3" l="1"/>
  <c r="F520" i="3"/>
  <c r="Y520" i="3"/>
  <c r="U518" i="1" l="1"/>
  <c r="H520" i="3"/>
  <c r="R518" i="1" l="1"/>
  <c r="I520" i="3"/>
  <c r="AA520" i="3"/>
  <c r="Z521" i="3" s="1"/>
  <c r="S518" i="1" l="1"/>
  <c r="K520" i="3"/>
  <c r="M520" i="3" l="1"/>
  <c r="L520" i="3"/>
  <c r="O520" i="3" s="1"/>
  <c r="X520" i="3" s="1"/>
  <c r="V520" i="3" l="1"/>
  <c r="D521" i="3"/>
  <c r="N520" i="3"/>
  <c r="E521" i="3" s="1"/>
  <c r="Y521" i="3" l="1"/>
  <c r="G521" i="3"/>
  <c r="F521" i="3"/>
  <c r="H521" i="3" l="1"/>
  <c r="I521" i="3" s="1"/>
  <c r="U519" i="1"/>
  <c r="K521" i="3" l="1"/>
  <c r="S519" i="1"/>
  <c r="R519" i="1"/>
  <c r="AA521" i="3"/>
  <c r="Z522" i="3" s="1"/>
  <c r="L521" i="3" l="1"/>
  <c r="O521" i="3" s="1"/>
  <c r="X521" i="3" s="1"/>
  <c r="M521" i="3"/>
  <c r="V521" i="3" s="1"/>
  <c r="D522" i="3" l="1"/>
  <c r="N521" i="3"/>
  <c r="E522" i="3" s="1"/>
  <c r="M47" i="1"/>
  <c r="F522" i="3" l="1"/>
  <c r="G522" i="3"/>
  <c r="Y522" i="3"/>
  <c r="U520" i="1" l="1"/>
  <c r="H522" i="3"/>
  <c r="R520" i="1" l="1"/>
  <c r="I522" i="3"/>
  <c r="AA522" i="3"/>
  <c r="Z523" i="3" s="1"/>
  <c r="K522" i="3" l="1"/>
  <c r="S520" i="1"/>
  <c r="L522" i="3" l="1"/>
  <c r="O522" i="3" s="1"/>
  <c r="X522" i="3" s="1"/>
  <c r="M522" i="3"/>
  <c r="V522" i="3" l="1"/>
  <c r="N522" i="3"/>
  <c r="E523" i="3" s="1"/>
  <c r="D523" i="3"/>
  <c r="G523" i="3"/>
  <c r="U521" i="1" s="1"/>
  <c r="F523" i="3" l="1"/>
  <c r="Y523" i="3"/>
  <c r="H523" i="3"/>
  <c r="AA523" i="3" s="1"/>
  <c r="Z524" i="3" s="1"/>
  <c r="R521" i="1" l="1"/>
  <c r="I523" i="3"/>
  <c r="K523" i="3" l="1"/>
  <c r="S521" i="1"/>
  <c r="L523" i="3" l="1"/>
  <c r="O523" i="3" s="1"/>
  <c r="X523" i="3" s="1"/>
  <c r="M523" i="3"/>
  <c r="V523" i="3"/>
  <c r="N523" i="3"/>
  <c r="E524" i="3" s="1"/>
  <c r="D524" i="3"/>
  <c r="Y524" i="3" l="1"/>
  <c r="F524" i="3"/>
  <c r="G524" i="3"/>
  <c r="H524" i="3" l="1"/>
  <c r="U522" i="1"/>
  <c r="R522" i="1" l="1"/>
  <c r="AA524" i="3"/>
  <c r="Z525" i="3" s="1"/>
  <c r="I524" i="3"/>
  <c r="S522" i="1" l="1"/>
  <c r="K524" i="3"/>
  <c r="M524" i="3" l="1"/>
  <c r="L524" i="3"/>
  <c r="O524" i="3" s="1"/>
  <c r="X524" i="3" s="1"/>
  <c r="D525" i="3"/>
  <c r="N524" i="3" l="1"/>
  <c r="E525" i="3" s="1"/>
  <c r="V524" i="3"/>
  <c r="Y525" i="3"/>
  <c r="G525" i="3"/>
  <c r="F525" i="3"/>
  <c r="H525" i="3" l="1"/>
  <c r="U523" i="1"/>
  <c r="R523" i="1" l="1"/>
  <c r="I525" i="3"/>
  <c r="AA525" i="3"/>
  <c r="Z526" i="3" s="1"/>
  <c r="S523" i="1" l="1"/>
  <c r="K525" i="3"/>
  <c r="M525" i="3" l="1"/>
  <c r="L525" i="3"/>
  <c r="O525" i="3" s="1"/>
  <c r="X525" i="3" s="1"/>
  <c r="D526" i="3"/>
  <c r="N525" i="3"/>
  <c r="E526" i="3" s="1"/>
  <c r="V525" i="3"/>
  <c r="Y526" i="3" l="1"/>
  <c r="F526" i="3"/>
  <c r="G526" i="3"/>
  <c r="H526" i="3" l="1"/>
  <c r="U524" i="1"/>
  <c r="R524" i="1" l="1"/>
  <c r="I526" i="3"/>
  <c r="AA526" i="3"/>
  <c r="Z527" i="3" s="1"/>
  <c r="S524" i="1" l="1"/>
  <c r="K526" i="3"/>
  <c r="L526" i="3" l="1"/>
  <c r="O526" i="3" s="1"/>
  <c r="X526" i="3" s="1"/>
  <c r="M526" i="3"/>
  <c r="D527" i="3" l="1"/>
  <c r="N526" i="3"/>
  <c r="E527" i="3" s="1"/>
  <c r="V526" i="3"/>
  <c r="F527" i="3" l="1"/>
  <c r="G527" i="3"/>
  <c r="Y527" i="3"/>
  <c r="U525" i="1" l="1"/>
  <c r="H527" i="3"/>
  <c r="R525" i="1" l="1"/>
  <c r="I527" i="3"/>
  <c r="AA527" i="3"/>
  <c r="Z528" i="3" s="1"/>
  <c r="S525" i="1" l="1"/>
  <c r="K527" i="3"/>
  <c r="L527" i="3" l="1"/>
  <c r="O527" i="3" s="1"/>
  <c r="X527" i="3" s="1"/>
  <c r="M527" i="3"/>
  <c r="V527" i="3" s="1"/>
  <c r="D528" i="3" l="1"/>
  <c r="N527" i="3"/>
  <c r="E528" i="3" s="1"/>
  <c r="Y528" i="3" l="1"/>
  <c r="G528" i="3"/>
  <c r="F528" i="3"/>
  <c r="U526" i="1" l="1"/>
  <c r="H528" i="3"/>
  <c r="I528" i="3" s="1"/>
  <c r="K528" i="3" l="1"/>
  <c r="S526" i="1"/>
  <c r="AA528" i="3"/>
  <c r="Z529" i="3" s="1"/>
  <c r="R526" i="1"/>
  <c r="L528" i="3" l="1"/>
  <c r="O528" i="3" s="1"/>
  <c r="X528" i="3" s="1"/>
  <c r="M528" i="3"/>
  <c r="D529" i="3" l="1"/>
  <c r="N528" i="3"/>
  <c r="E529" i="3" s="1"/>
  <c r="V528" i="3"/>
  <c r="G529" i="3"/>
  <c r="F529" i="3"/>
  <c r="Y529" i="3"/>
  <c r="U527" i="1" l="1"/>
  <c r="H529" i="3"/>
  <c r="R527" i="1" l="1"/>
  <c r="I529" i="3"/>
  <c r="AA529" i="3"/>
  <c r="Z530" i="3" s="1"/>
  <c r="S527" i="1" l="1"/>
  <c r="K529" i="3"/>
  <c r="L529" i="3" l="1"/>
  <c r="O529" i="3" s="1"/>
  <c r="X529" i="3" s="1"/>
  <c r="M529" i="3"/>
  <c r="V529" i="3" s="1"/>
  <c r="N529" i="3" l="1"/>
  <c r="E530" i="3" s="1"/>
  <c r="D530" i="3"/>
  <c r="G530" i="3" l="1"/>
  <c r="F530" i="3"/>
  <c r="Y530" i="3"/>
  <c r="U528" i="1" l="1"/>
  <c r="H530" i="3"/>
  <c r="I530" i="3" s="1"/>
  <c r="K530" i="3" l="1"/>
  <c r="S528" i="1"/>
  <c r="AA530" i="3"/>
  <c r="Z531" i="3" s="1"/>
  <c r="R528" i="1"/>
  <c r="L530" i="3" l="1"/>
  <c r="O530" i="3" s="1"/>
  <c r="X530" i="3" s="1"/>
  <c r="M530" i="3"/>
  <c r="V530" i="3" s="1"/>
  <c r="D531" i="3" l="1"/>
  <c r="N530" i="3"/>
  <c r="E531" i="3" s="1"/>
  <c r="F531" i="3" l="1"/>
  <c r="G531" i="3"/>
  <c r="Y531" i="3"/>
  <c r="U529" i="1" l="1"/>
  <c r="AA531" i="3"/>
  <c r="Z532" i="3" s="1"/>
  <c r="H531" i="3"/>
  <c r="R529" i="1" l="1"/>
  <c r="I531" i="3"/>
  <c r="S529" i="1" l="1"/>
  <c r="K531" i="3"/>
  <c r="L531" i="3"/>
  <c r="O531" i="3" s="1"/>
  <c r="X531" i="3" s="1"/>
  <c r="M531" i="3"/>
  <c r="V531" i="3" s="1"/>
  <c r="N531" i="3" l="1"/>
  <c r="E532" i="3" s="1"/>
  <c r="D532" i="3"/>
  <c r="G532" i="3" l="1"/>
  <c r="Y532" i="3"/>
  <c r="F532" i="3"/>
  <c r="U530" i="1" l="1"/>
  <c r="AA532" i="3"/>
  <c r="Z533" i="3" s="1"/>
  <c r="H532" i="3"/>
  <c r="R530" i="1" l="1"/>
  <c r="I532" i="3"/>
  <c r="S530" i="1" l="1"/>
  <c r="K532" i="3"/>
  <c r="M532" i="3" l="1"/>
  <c r="L532" i="3"/>
  <c r="O532" i="3" s="1"/>
  <c r="X532" i="3" s="1"/>
  <c r="V532" i="3" l="1"/>
  <c r="D533" i="3"/>
  <c r="N532" i="3"/>
  <c r="E533" i="3" s="1"/>
  <c r="Y533" i="3" l="1"/>
  <c r="G533" i="3"/>
  <c r="F533" i="3"/>
  <c r="H533" i="3"/>
  <c r="U531" i="1"/>
  <c r="R531" i="1" l="1"/>
  <c r="I533" i="3"/>
  <c r="AA533" i="3"/>
  <c r="Z534" i="3" s="1"/>
  <c r="S531" i="1" l="1"/>
  <c r="K533" i="3"/>
  <c r="L533" i="3" l="1"/>
  <c r="O533" i="3" s="1"/>
  <c r="X533" i="3" s="1"/>
  <c r="M533" i="3"/>
  <c r="V533" i="3" s="1"/>
  <c r="N533" i="3" l="1"/>
  <c r="E534" i="3" s="1"/>
  <c r="D534" i="3"/>
  <c r="M48" i="1"/>
  <c r="Y534" i="3" l="1"/>
  <c r="G534" i="3"/>
  <c r="F534" i="3"/>
  <c r="H534" i="3" l="1"/>
  <c r="U532" i="1"/>
  <c r="R532" i="1" l="1"/>
  <c r="AA534" i="3"/>
  <c r="Z535" i="3" s="1"/>
  <c r="I534" i="3"/>
  <c r="S532" i="1" l="1"/>
  <c r="K534" i="3"/>
  <c r="L534" i="3" l="1"/>
  <c r="O534" i="3" s="1"/>
  <c r="X534" i="3" s="1"/>
  <c r="M534" i="3"/>
  <c r="D535" i="3" l="1"/>
  <c r="N534" i="3"/>
  <c r="E535" i="3" s="1"/>
  <c r="V534" i="3"/>
  <c r="F535" i="3" l="1"/>
  <c r="G535" i="3"/>
  <c r="U533" i="1" s="1"/>
  <c r="Y535" i="3"/>
  <c r="H535" i="3" l="1"/>
  <c r="AA535" i="3" s="1"/>
  <c r="Z536" i="3" s="1"/>
  <c r="R533" i="1" l="1"/>
  <c r="I535" i="3"/>
  <c r="K535" i="3" l="1"/>
  <c r="S533" i="1"/>
  <c r="L535" i="3" l="1"/>
  <c r="O535" i="3" s="1"/>
  <c r="X535" i="3" s="1"/>
  <c r="M535" i="3"/>
  <c r="D536" i="3" l="1"/>
  <c r="N535" i="3"/>
  <c r="E536" i="3" s="1"/>
  <c r="V535" i="3"/>
  <c r="F536" i="3" l="1"/>
  <c r="G536" i="3"/>
  <c r="Y536" i="3"/>
  <c r="U534" i="1" l="1"/>
  <c r="H536" i="3"/>
  <c r="R534" i="1" l="1"/>
  <c r="I536" i="3"/>
  <c r="AA536" i="3"/>
  <c r="Z537" i="3" s="1"/>
  <c r="S534" i="1" l="1"/>
  <c r="K536" i="3"/>
  <c r="L536" i="3" l="1"/>
  <c r="O536" i="3" s="1"/>
  <c r="X536" i="3" s="1"/>
  <c r="M536" i="3"/>
  <c r="V536" i="3" s="1"/>
  <c r="N536" i="3" l="1"/>
  <c r="E537" i="3" s="1"/>
  <c r="D537" i="3"/>
  <c r="F537" i="3" l="1"/>
  <c r="Y537" i="3"/>
  <c r="G537" i="3"/>
  <c r="U535" i="1" l="1"/>
  <c r="H537" i="3"/>
  <c r="I537" i="3" s="1"/>
  <c r="K537" i="3" l="1"/>
  <c r="S535" i="1"/>
  <c r="AA537" i="3"/>
  <c r="Z538" i="3" s="1"/>
  <c r="R535" i="1"/>
  <c r="L537" i="3" l="1"/>
  <c r="O537" i="3" s="1"/>
  <c r="X537" i="3" s="1"/>
  <c r="M537" i="3"/>
  <c r="D538" i="3" l="1"/>
  <c r="V537" i="3"/>
  <c r="N537" i="3"/>
  <c r="E538" i="3" s="1"/>
  <c r="F538" i="3"/>
  <c r="Y538" i="3"/>
  <c r="G538" i="3"/>
  <c r="H538" i="3" l="1"/>
  <c r="I538" i="3" s="1"/>
  <c r="U536" i="1"/>
  <c r="K538" i="3" l="1"/>
  <c r="S536" i="1"/>
  <c r="R536" i="1"/>
  <c r="AA538" i="3"/>
  <c r="Z539" i="3" s="1"/>
  <c r="M538" i="3" l="1"/>
  <c r="L538" i="3"/>
  <c r="O538" i="3" s="1"/>
  <c r="X538" i="3" s="1"/>
  <c r="V538" i="3" l="1"/>
  <c r="D539" i="3"/>
  <c r="N538" i="3"/>
  <c r="E539" i="3" s="1"/>
  <c r="G539" i="3" l="1"/>
  <c r="Y539" i="3"/>
  <c r="F539" i="3"/>
  <c r="U537" i="1" l="1"/>
  <c r="H539" i="3"/>
  <c r="R537" i="1" l="1"/>
  <c r="I539" i="3"/>
  <c r="AA539" i="3"/>
  <c r="Z540" i="3" s="1"/>
  <c r="K539" i="3" l="1"/>
  <c r="S537" i="1"/>
  <c r="L539" i="3" l="1"/>
  <c r="O539" i="3" s="1"/>
  <c r="X539" i="3" s="1"/>
  <c r="M539" i="3"/>
  <c r="V539" i="3" s="1"/>
  <c r="D540" i="3" l="1"/>
  <c r="N539" i="3"/>
  <c r="E540" i="3" s="1"/>
  <c r="G540" i="3" l="1"/>
  <c r="F540" i="3"/>
  <c r="Y540" i="3"/>
  <c r="U538" i="1" l="1"/>
  <c r="H540" i="3"/>
  <c r="R538" i="1" l="1"/>
  <c r="I540" i="3"/>
  <c r="AA540" i="3"/>
  <c r="Z541" i="3" s="1"/>
  <c r="S538" i="1" l="1"/>
  <c r="K540" i="3"/>
  <c r="L540" i="3" l="1"/>
  <c r="O540" i="3" s="1"/>
  <c r="X540" i="3" s="1"/>
  <c r="M540" i="3"/>
  <c r="N540" i="3"/>
  <c r="E541" i="3" s="1"/>
  <c r="V540" i="3" l="1"/>
  <c r="D541" i="3"/>
  <c r="F541" i="3" s="1"/>
  <c r="G541" i="3"/>
  <c r="Y541" i="3"/>
  <c r="U539" i="1" l="1"/>
  <c r="H541" i="3"/>
  <c r="I541" i="3" s="1"/>
  <c r="R539" i="1" l="1"/>
  <c r="AA541" i="3"/>
  <c r="Z542" i="3" s="1"/>
  <c r="K541" i="3"/>
  <c r="S539" i="1"/>
  <c r="L541" i="3" l="1"/>
  <c r="O541" i="3" s="1"/>
  <c r="X541" i="3" s="1"/>
  <c r="M541" i="3"/>
  <c r="V541" i="3"/>
  <c r="N541" i="3"/>
  <c r="E542" i="3" s="1"/>
  <c r="D542" i="3"/>
  <c r="Y542" i="3" l="1"/>
  <c r="H542" i="3" s="1"/>
  <c r="G542" i="3"/>
  <c r="F542" i="3"/>
  <c r="R540" i="1" l="1"/>
  <c r="AA542" i="3"/>
  <c r="Z543" i="3" s="1"/>
  <c r="I542" i="3"/>
  <c r="U540" i="1"/>
  <c r="K542" i="3" l="1"/>
  <c r="S540" i="1"/>
  <c r="L542" i="3" l="1"/>
  <c r="O542" i="3" s="1"/>
  <c r="X542" i="3" s="1"/>
  <c r="M542" i="3"/>
  <c r="N542" i="3" l="1"/>
  <c r="E543" i="3" s="1"/>
  <c r="V542" i="3"/>
  <c r="D543" i="3"/>
  <c r="F543" i="3"/>
  <c r="Y543" i="3"/>
  <c r="G543" i="3"/>
  <c r="U541" i="1" l="1"/>
  <c r="H543" i="3"/>
  <c r="I543" i="3" s="1"/>
  <c r="K543" i="3" l="1"/>
  <c r="S541" i="1"/>
  <c r="AA543" i="3"/>
  <c r="Z544" i="3" s="1"/>
  <c r="R541" i="1"/>
  <c r="L543" i="3" l="1"/>
  <c r="O543" i="3" s="1"/>
  <c r="X543" i="3" s="1"/>
  <c r="M543" i="3"/>
  <c r="V543" i="3" s="1"/>
  <c r="N543" i="3" l="1"/>
  <c r="E544" i="3" s="1"/>
  <c r="D544" i="3"/>
  <c r="F544" i="3" l="1"/>
  <c r="G544" i="3"/>
  <c r="Y544" i="3"/>
  <c r="H544" i="3" s="1"/>
  <c r="I544" i="3" l="1"/>
  <c r="U542" i="1"/>
  <c r="R542" i="1"/>
  <c r="AA544" i="3"/>
  <c r="Z545" i="3" s="1"/>
  <c r="K544" i="3" l="1"/>
  <c r="S542" i="1"/>
  <c r="L544" i="3" l="1"/>
  <c r="O544" i="3" s="1"/>
  <c r="X544" i="3" s="1"/>
  <c r="M544" i="3"/>
  <c r="V544" i="3" s="1"/>
  <c r="N544" i="3" l="1"/>
  <c r="E545" i="3" s="1"/>
  <c r="D545" i="3"/>
  <c r="Y545" i="3" l="1"/>
  <c r="F545" i="3"/>
  <c r="G545" i="3"/>
  <c r="H545" i="3" l="1"/>
  <c r="U543" i="1"/>
  <c r="R543" i="1" l="1"/>
  <c r="AA545" i="3"/>
  <c r="Z546" i="3" s="1"/>
  <c r="I545" i="3"/>
  <c r="S543" i="1" l="1"/>
  <c r="K545" i="3"/>
  <c r="L545" i="3" l="1"/>
  <c r="O545" i="3" s="1"/>
  <c r="X545" i="3" s="1"/>
  <c r="M545" i="3"/>
  <c r="V545" i="3" s="1"/>
  <c r="N545" i="3" l="1"/>
  <c r="E546" i="3" s="1"/>
  <c r="D546" i="3"/>
  <c r="M49" i="1"/>
  <c r="G546" i="3" l="1"/>
  <c r="F546" i="3"/>
  <c r="Y546" i="3"/>
  <c r="U544" i="1" l="1"/>
  <c r="H546" i="3"/>
  <c r="R544" i="1" l="1"/>
  <c r="I546" i="3"/>
  <c r="AA546" i="3"/>
  <c r="Z547" i="3" s="1"/>
  <c r="S544" i="1" l="1"/>
  <c r="K546" i="3"/>
  <c r="L546" i="3" l="1"/>
  <c r="O546" i="3" s="1"/>
  <c r="X546" i="3" s="1"/>
  <c r="M546" i="3"/>
  <c r="D547" i="3" l="1"/>
  <c r="N546" i="3"/>
  <c r="E547" i="3" s="1"/>
  <c r="V546" i="3"/>
  <c r="Y547" i="3" l="1"/>
  <c r="F547" i="3"/>
  <c r="G547" i="3"/>
  <c r="H547" i="3" l="1"/>
  <c r="U545" i="1"/>
  <c r="R545" i="1" l="1"/>
  <c r="AA547" i="3"/>
  <c r="Z548" i="3" s="1"/>
  <c r="I547" i="3"/>
  <c r="S545" i="1" l="1"/>
  <c r="K547" i="3"/>
  <c r="L547" i="3" l="1"/>
  <c r="O547" i="3" s="1"/>
  <c r="X547" i="3" s="1"/>
  <c r="M547" i="3"/>
  <c r="V547" i="3" s="1"/>
  <c r="D548" i="3" l="1"/>
  <c r="N547" i="3"/>
  <c r="E548" i="3" s="1"/>
  <c r="F548" i="3" l="1"/>
  <c r="G548" i="3"/>
  <c r="Y548" i="3"/>
  <c r="U546" i="1" l="1"/>
  <c r="H548" i="3"/>
  <c r="R546" i="1" l="1"/>
  <c r="AA548" i="3"/>
  <c r="Z549" i="3" s="1"/>
  <c r="I548" i="3"/>
  <c r="S546" i="1" l="1"/>
  <c r="K548" i="3"/>
  <c r="L548" i="3" l="1"/>
  <c r="O548" i="3" s="1"/>
  <c r="X548" i="3" s="1"/>
  <c r="M548" i="3"/>
  <c r="V548" i="3" s="1"/>
  <c r="N548" i="3" l="1"/>
  <c r="E549" i="3" s="1"/>
  <c r="D549" i="3"/>
  <c r="Y549" i="3" l="1"/>
  <c r="G549" i="3"/>
  <c r="F549" i="3"/>
  <c r="H549" i="3" l="1"/>
  <c r="U547" i="1"/>
  <c r="R547" i="1" l="1"/>
  <c r="AA549" i="3"/>
  <c r="Z550" i="3" s="1"/>
  <c r="I549" i="3"/>
  <c r="K549" i="3"/>
  <c r="S547" i="1"/>
  <c r="L549" i="3" l="1"/>
  <c r="O549" i="3" s="1"/>
  <c r="X549" i="3" s="1"/>
  <c r="M549" i="3"/>
  <c r="V549" i="3"/>
  <c r="D550" i="3" l="1"/>
  <c r="N549" i="3"/>
  <c r="E550" i="3" s="1"/>
  <c r="F550" i="3" l="1"/>
  <c r="G550" i="3"/>
  <c r="Y550" i="3"/>
  <c r="H550" i="3" l="1"/>
  <c r="AA550" i="3" s="1"/>
  <c r="Z551" i="3" s="1"/>
  <c r="I550" i="3"/>
  <c r="U548" i="1"/>
  <c r="R548" i="1"/>
  <c r="K550" i="3" l="1"/>
  <c r="S548" i="1"/>
  <c r="L550" i="3" l="1"/>
  <c r="O550" i="3" s="1"/>
  <c r="X550" i="3" s="1"/>
  <c r="M550" i="3"/>
  <c r="D551" i="3"/>
  <c r="V550" i="3" l="1"/>
  <c r="N550" i="3"/>
  <c r="E551" i="3" s="1"/>
  <c r="Y551" i="3"/>
  <c r="F551" i="3"/>
  <c r="G551" i="3"/>
  <c r="H551" i="3" l="1"/>
  <c r="U549" i="1"/>
  <c r="R549" i="1" l="1"/>
  <c r="I551" i="3"/>
  <c r="AA551" i="3"/>
  <c r="Z552" i="3" s="1"/>
  <c r="S549" i="1" l="1"/>
  <c r="K551" i="3"/>
  <c r="L551" i="3" l="1"/>
  <c r="O551" i="3" s="1"/>
  <c r="X551" i="3" s="1"/>
  <c r="M551" i="3"/>
  <c r="V551" i="3" s="1"/>
  <c r="N551" i="3" l="1"/>
  <c r="E552" i="3" s="1"/>
  <c r="D552" i="3"/>
  <c r="Y552" i="3" l="1"/>
  <c r="G552" i="3"/>
  <c r="F552" i="3"/>
  <c r="H552" i="3" l="1"/>
  <c r="U550" i="1"/>
  <c r="R550" i="1" l="1"/>
  <c r="AA552" i="3"/>
  <c r="Z553" i="3" s="1"/>
  <c r="I552" i="3"/>
  <c r="S550" i="1" l="1"/>
  <c r="K552" i="3"/>
  <c r="L552" i="3" l="1"/>
  <c r="O552" i="3" s="1"/>
  <c r="X552" i="3" s="1"/>
  <c r="M552" i="3"/>
  <c r="V552" i="3"/>
  <c r="D553" i="3" l="1"/>
  <c r="N552" i="3"/>
  <c r="E553" i="3" s="1"/>
  <c r="F553" i="3" l="1"/>
  <c r="G553" i="3"/>
  <c r="Y553" i="3"/>
  <c r="H553" i="3" s="1"/>
  <c r="I553" i="3" l="1"/>
  <c r="U551" i="1"/>
  <c r="R551" i="1"/>
  <c r="AA553" i="3"/>
  <c r="Z554" i="3" s="1"/>
  <c r="K553" i="3" l="1"/>
  <c r="S551" i="1"/>
  <c r="L553" i="3" l="1"/>
  <c r="O553" i="3" s="1"/>
  <c r="X553" i="3" s="1"/>
  <c r="M553" i="3"/>
  <c r="V553" i="3" s="1"/>
  <c r="D554" i="3" l="1"/>
  <c r="N553" i="3"/>
  <c r="E554" i="3" s="1"/>
  <c r="F554" i="3" l="1"/>
  <c r="G554" i="3"/>
  <c r="Y554" i="3"/>
  <c r="U552" i="1" l="1"/>
  <c r="H554" i="3"/>
  <c r="R552" i="1" l="1"/>
  <c r="I554" i="3"/>
  <c r="AA554" i="3"/>
  <c r="Z555" i="3" s="1"/>
  <c r="S552" i="1" l="1"/>
  <c r="K554" i="3"/>
  <c r="M554" i="3" s="1"/>
  <c r="N554" i="3" l="1"/>
  <c r="E555" i="3" s="1"/>
  <c r="D555" i="3"/>
  <c r="L554" i="3"/>
  <c r="O554" i="3" s="1"/>
  <c r="X554" i="3" s="1"/>
  <c r="V554" i="3"/>
  <c r="F555" i="3" l="1"/>
  <c r="G555" i="3"/>
  <c r="Y555" i="3"/>
  <c r="U553" i="1" l="1"/>
  <c r="H555" i="3"/>
  <c r="AA555" i="3" s="1"/>
  <c r="Z556" i="3" s="1"/>
  <c r="R553" i="1" l="1"/>
  <c r="I555" i="3"/>
  <c r="S553" i="1" l="1"/>
  <c r="K555" i="3"/>
  <c r="L555" i="3" l="1"/>
  <c r="O555" i="3" s="1"/>
  <c r="X555" i="3" s="1"/>
  <c r="M555" i="3"/>
  <c r="D556" i="3" l="1"/>
  <c r="N555" i="3"/>
  <c r="E556" i="3" s="1"/>
  <c r="V555" i="3"/>
  <c r="G556" i="3" l="1"/>
  <c r="F556" i="3"/>
  <c r="Y556" i="3"/>
  <c r="U554" i="1" l="1"/>
  <c r="H556" i="3"/>
  <c r="R554" i="1" l="1"/>
  <c r="I556" i="3"/>
  <c r="AA556" i="3"/>
  <c r="Z557" i="3" s="1"/>
  <c r="S554" i="1" l="1"/>
  <c r="K556" i="3"/>
  <c r="L556" i="3" l="1"/>
  <c r="O556" i="3" s="1"/>
  <c r="X556" i="3" s="1"/>
  <c r="M556" i="3"/>
  <c r="N556" i="3" l="1"/>
  <c r="E557" i="3" s="1"/>
  <c r="D557" i="3"/>
  <c r="V556" i="3"/>
  <c r="G557" i="3" l="1"/>
  <c r="Y557" i="3"/>
  <c r="F557" i="3"/>
  <c r="U555" i="1" l="1"/>
  <c r="H557" i="3"/>
  <c r="R555" i="1" l="1"/>
  <c r="I557" i="3"/>
  <c r="AA557" i="3"/>
  <c r="Z558" i="3" s="1"/>
  <c r="S555" i="1" l="1"/>
  <c r="K557" i="3"/>
  <c r="L557" i="3" l="1"/>
  <c r="O557" i="3" s="1"/>
  <c r="X557" i="3" s="1"/>
  <c r="M557" i="3"/>
  <c r="D558" i="3" s="1"/>
  <c r="V557" i="3"/>
  <c r="M50" i="1"/>
  <c r="N557" i="3"/>
  <c r="E558" i="3" s="1"/>
  <c r="F558" i="3" l="1"/>
  <c r="G558" i="3"/>
  <c r="Y558" i="3"/>
  <c r="H558" i="3" s="1"/>
  <c r="I558" i="3" l="1"/>
  <c r="U556" i="1"/>
  <c r="R556" i="1"/>
  <c r="AA558" i="3"/>
  <c r="Z559" i="3" s="1"/>
  <c r="K558" i="3" l="1"/>
  <c r="S556" i="1"/>
  <c r="L558" i="3" l="1"/>
  <c r="O558" i="3" s="1"/>
  <c r="X558" i="3" s="1"/>
  <c r="M558" i="3"/>
  <c r="V558" i="3"/>
  <c r="D559" i="3" l="1"/>
  <c r="N558" i="3"/>
  <c r="E559" i="3" s="1"/>
  <c r="Y559" i="3" l="1"/>
  <c r="G559" i="3"/>
  <c r="U557" i="1" s="1"/>
  <c r="F559" i="3"/>
  <c r="H559" i="3" l="1"/>
  <c r="AA559" i="3" s="1"/>
  <c r="Z560" i="3" s="1"/>
  <c r="R557" i="1" l="1"/>
  <c r="I559" i="3"/>
  <c r="K559" i="3" l="1"/>
  <c r="S557" i="1"/>
  <c r="L559" i="3" l="1"/>
  <c r="O559" i="3" s="1"/>
  <c r="X559" i="3" s="1"/>
  <c r="M559" i="3"/>
  <c r="N559" i="3" l="1"/>
  <c r="E560" i="3" s="1"/>
  <c r="D560" i="3"/>
  <c r="V559" i="3"/>
  <c r="G560" i="3" l="1"/>
  <c r="U558" i="1" s="1"/>
  <c r="F560" i="3"/>
  <c r="Y560" i="3"/>
  <c r="H560" i="3" l="1"/>
  <c r="AA560" i="3" s="1"/>
  <c r="Z561" i="3" s="1"/>
  <c r="R558" i="1" l="1"/>
  <c r="I560" i="3"/>
  <c r="K560" i="3" l="1"/>
  <c r="S558" i="1"/>
  <c r="L560" i="3" l="1"/>
  <c r="O560" i="3" s="1"/>
  <c r="X560" i="3" s="1"/>
  <c r="M560" i="3"/>
  <c r="V560" i="3" s="1"/>
  <c r="N560" i="3" l="1"/>
  <c r="E561" i="3" s="1"/>
  <c r="D561" i="3"/>
  <c r="F561" i="3" l="1"/>
  <c r="G561" i="3"/>
  <c r="U559" i="1" s="1"/>
  <c r="Y561" i="3"/>
  <c r="H561" i="3" l="1"/>
  <c r="AA561" i="3" s="1"/>
  <c r="Z562" i="3" s="1"/>
  <c r="R559" i="1" l="1"/>
  <c r="I561" i="3"/>
  <c r="K561" i="3" l="1"/>
  <c r="S559" i="1"/>
  <c r="L561" i="3" l="1"/>
  <c r="O561" i="3" s="1"/>
  <c r="X561" i="3" s="1"/>
  <c r="M561" i="3"/>
  <c r="D562" i="3"/>
  <c r="V561" i="3" l="1"/>
  <c r="N561" i="3"/>
  <c r="E562" i="3" s="1"/>
  <c r="F562" i="3"/>
  <c r="Y562" i="3"/>
  <c r="G562" i="3"/>
  <c r="H562" i="3" l="1"/>
  <c r="I562" i="3" s="1"/>
  <c r="U560" i="1"/>
  <c r="K562" i="3" l="1"/>
  <c r="S560" i="1"/>
  <c r="R560" i="1"/>
  <c r="AA562" i="3"/>
  <c r="Z563" i="3" s="1"/>
  <c r="L562" i="3" l="1"/>
  <c r="O562" i="3" s="1"/>
  <c r="X562" i="3" s="1"/>
  <c r="M562" i="3"/>
  <c r="V562" i="3"/>
  <c r="D563" i="3" l="1"/>
  <c r="N562" i="3"/>
  <c r="E563" i="3" s="1"/>
  <c r="Y563" i="3" l="1"/>
  <c r="G563" i="3"/>
  <c r="F563" i="3"/>
  <c r="U561" i="1" l="1"/>
  <c r="H563" i="3"/>
  <c r="I563" i="3" s="1"/>
  <c r="K563" i="3" l="1"/>
  <c r="S561" i="1"/>
  <c r="AA563" i="3"/>
  <c r="Z564" i="3" s="1"/>
  <c r="R561" i="1"/>
  <c r="L563" i="3" l="1"/>
  <c r="O563" i="3" s="1"/>
  <c r="X563" i="3" s="1"/>
  <c r="M563" i="3"/>
  <c r="N563" i="3" l="1"/>
  <c r="E564" i="3" s="1"/>
  <c r="D564" i="3"/>
  <c r="V563" i="3"/>
  <c r="F564" i="3" l="1"/>
  <c r="Y564" i="3"/>
  <c r="G564" i="3"/>
  <c r="H564" i="3" l="1"/>
  <c r="AA564" i="3" s="1"/>
  <c r="Z565" i="3" s="1"/>
  <c r="U562" i="1"/>
  <c r="R562" i="1" l="1"/>
  <c r="I564" i="3"/>
  <c r="K564" i="3"/>
  <c r="S562" i="1"/>
  <c r="L564" i="3" l="1"/>
  <c r="O564" i="3" s="1"/>
  <c r="X564" i="3" s="1"/>
  <c r="M564" i="3"/>
  <c r="N564" i="3" l="1"/>
  <c r="E565" i="3" s="1"/>
  <c r="D565" i="3"/>
  <c r="V564" i="3"/>
  <c r="G565" i="3" l="1"/>
  <c r="F565" i="3"/>
  <c r="Y565" i="3"/>
  <c r="U563" i="1" l="1"/>
  <c r="H565" i="3"/>
  <c r="R563" i="1" l="1"/>
  <c r="AA565" i="3"/>
  <c r="Z566" i="3" s="1"/>
  <c r="I565" i="3"/>
  <c r="S563" i="1" l="1"/>
  <c r="K565" i="3"/>
  <c r="L565" i="3" l="1"/>
  <c r="O565" i="3" s="1"/>
  <c r="X565" i="3" s="1"/>
  <c r="M565" i="3"/>
  <c r="D566" i="3" l="1"/>
  <c r="N565" i="3"/>
  <c r="E566" i="3" s="1"/>
  <c r="V565" i="3"/>
  <c r="G566" i="3" l="1"/>
  <c r="Y566" i="3"/>
  <c r="F566" i="3"/>
  <c r="U564" i="1" l="1"/>
  <c r="H566" i="3"/>
  <c r="R564" i="1" l="1"/>
  <c r="I566" i="3"/>
  <c r="AA566" i="3"/>
  <c r="Z567" i="3" s="1"/>
  <c r="S564" i="1" l="1"/>
  <c r="K566" i="3"/>
  <c r="L566" i="3" l="1"/>
  <c r="O566" i="3" s="1"/>
  <c r="X566" i="3" s="1"/>
  <c r="M566" i="3"/>
  <c r="D567" i="3" l="1"/>
  <c r="N566" i="3"/>
  <c r="E567" i="3" s="1"/>
  <c r="V566" i="3"/>
  <c r="G567" i="3" l="1"/>
  <c r="F567" i="3"/>
  <c r="Y567" i="3"/>
  <c r="H567" i="3" s="1"/>
  <c r="I567" i="3" l="1"/>
  <c r="U565" i="1"/>
  <c r="R565" i="1"/>
  <c r="AA567" i="3"/>
  <c r="Z568" i="3" s="1"/>
  <c r="K567" i="3" l="1"/>
  <c r="S565" i="1"/>
  <c r="L567" i="3" l="1"/>
  <c r="O567" i="3" s="1"/>
  <c r="X567" i="3" s="1"/>
  <c r="M567" i="3"/>
  <c r="D568" i="3" l="1"/>
  <c r="V567" i="3"/>
  <c r="N567" i="3"/>
  <c r="E568" i="3" s="1"/>
  <c r="Y568" i="3"/>
  <c r="H568" i="3" s="1"/>
  <c r="F568" i="3"/>
  <c r="G568" i="3"/>
  <c r="R566" i="1" l="1"/>
  <c r="AA568" i="3"/>
  <c r="Z569" i="3" s="1"/>
  <c r="I568" i="3"/>
  <c r="U566" i="1"/>
  <c r="K568" i="3" l="1"/>
  <c r="S566" i="1"/>
  <c r="L568" i="3" l="1"/>
  <c r="O568" i="3" s="1"/>
  <c r="X568" i="3" s="1"/>
  <c r="M568" i="3"/>
  <c r="V568" i="3" l="1"/>
  <c r="N568" i="3"/>
  <c r="E569" i="3" s="1"/>
  <c r="D569" i="3"/>
  <c r="Y569" i="3"/>
  <c r="G569" i="3"/>
  <c r="F569" i="3"/>
  <c r="H569" i="3" l="1"/>
  <c r="U567" i="1"/>
  <c r="R567" i="1" l="1"/>
  <c r="AA569" i="3"/>
  <c r="Z570" i="3" s="1"/>
  <c r="I569" i="3"/>
  <c r="K569" i="3"/>
  <c r="M569" i="3"/>
  <c r="S567" i="1"/>
  <c r="D570" i="3" l="1"/>
  <c r="N569" i="3"/>
  <c r="E570" i="3" s="1"/>
  <c r="M51" i="1"/>
  <c r="L569" i="3"/>
  <c r="O569" i="3" s="1"/>
  <c r="X569" i="3" s="1"/>
  <c r="V569" i="3"/>
  <c r="G570" i="3" l="1"/>
  <c r="U568" i="1" s="1"/>
  <c r="Y570" i="3"/>
  <c r="F570" i="3"/>
  <c r="H570" i="3" l="1"/>
  <c r="AA570" i="3" s="1"/>
  <c r="Z571" i="3" s="1"/>
  <c r="R568" i="1" l="1"/>
  <c r="I570" i="3"/>
  <c r="K570" i="3" l="1"/>
  <c r="S568" i="1"/>
  <c r="L570" i="3" l="1"/>
  <c r="O570" i="3" s="1"/>
  <c r="X570" i="3" s="1"/>
  <c r="M570" i="3"/>
  <c r="N570" i="3" l="1"/>
  <c r="E571" i="3" s="1"/>
  <c r="V570" i="3"/>
  <c r="D571" i="3"/>
  <c r="Y571" i="3"/>
  <c r="F571" i="3"/>
  <c r="G571" i="3"/>
  <c r="U569" i="1" s="1"/>
  <c r="H571" i="3" l="1"/>
  <c r="AA571" i="3" s="1"/>
  <c r="Z572" i="3" s="1"/>
  <c r="R569" i="1" l="1"/>
  <c r="I571" i="3"/>
  <c r="K571" i="3" l="1"/>
  <c r="S569" i="1"/>
  <c r="L571" i="3" l="1"/>
  <c r="O571" i="3" s="1"/>
  <c r="X571" i="3" s="1"/>
  <c r="M571" i="3"/>
  <c r="V571" i="3" l="1"/>
  <c r="N571" i="3"/>
  <c r="E572" i="3" s="1"/>
  <c r="D572" i="3"/>
  <c r="Y572" i="3" l="1"/>
  <c r="G572" i="3"/>
  <c r="F572" i="3"/>
  <c r="H572" i="3" l="1"/>
  <c r="I572" i="3" s="1"/>
  <c r="U570" i="1"/>
  <c r="K572" i="3" l="1"/>
  <c r="L572" i="3" s="1"/>
  <c r="O572" i="3" s="1"/>
  <c r="X572" i="3" s="1"/>
  <c r="M572" i="3"/>
  <c r="S570" i="1"/>
  <c r="R570" i="1"/>
  <c r="AA572" i="3"/>
  <c r="Z573" i="3" s="1"/>
  <c r="V572" i="3" l="1"/>
  <c r="N572" i="3"/>
  <c r="E573" i="3" s="1"/>
  <c r="D573" i="3"/>
  <c r="Y573" i="3" l="1"/>
  <c r="G573" i="3"/>
  <c r="F573" i="3"/>
  <c r="H573" i="3" l="1"/>
  <c r="I573" i="3" s="1"/>
  <c r="U571" i="1"/>
  <c r="S571" i="1" l="1"/>
  <c r="K573" i="3"/>
  <c r="M573" i="3" s="1"/>
  <c r="R571" i="1"/>
  <c r="AA573" i="3"/>
  <c r="Z574" i="3" s="1"/>
  <c r="N573" i="3" l="1"/>
  <c r="E574" i="3" s="1"/>
  <c r="D574" i="3"/>
  <c r="V573" i="3"/>
  <c r="L573" i="3"/>
  <c r="O573" i="3" s="1"/>
  <c r="X573" i="3" s="1"/>
  <c r="G574" i="3" l="1"/>
  <c r="Y574" i="3"/>
  <c r="H574" i="3" s="1"/>
  <c r="F574" i="3"/>
  <c r="I574" i="3" l="1"/>
  <c r="U572" i="1"/>
  <c r="R572" i="1"/>
  <c r="AA574" i="3"/>
  <c r="Z575" i="3" s="1"/>
  <c r="S572" i="1" l="1"/>
  <c r="K574" i="3"/>
  <c r="M574" i="3" l="1"/>
  <c r="L574" i="3"/>
  <c r="O574" i="3" s="1"/>
  <c r="X574" i="3" s="1"/>
  <c r="V574" i="3" l="1"/>
  <c r="D575" i="3"/>
  <c r="N574" i="3"/>
  <c r="E575" i="3" s="1"/>
  <c r="F575" i="3" l="1"/>
  <c r="G575" i="3"/>
  <c r="U573" i="1" s="1"/>
  <c r="Y575" i="3"/>
  <c r="H575" i="3" l="1"/>
  <c r="AA575" i="3"/>
  <c r="Z576" i="3" s="1"/>
  <c r="R573" i="1" l="1"/>
  <c r="I575" i="3"/>
  <c r="K575" i="3" l="1"/>
  <c r="S573" i="1"/>
  <c r="L575" i="3" l="1"/>
  <c r="O575" i="3" s="1"/>
  <c r="X575" i="3" s="1"/>
  <c r="M575" i="3"/>
  <c r="V575" i="3" s="1"/>
  <c r="N575" i="3" l="1"/>
  <c r="E576" i="3" s="1"/>
  <c r="D576" i="3"/>
  <c r="G576" i="3" l="1"/>
  <c r="F576" i="3"/>
  <c r="Y576" i="3"/>
  <c r="H576" i="3" s="1"/>
  <c r="I576" i="3" l="1"/>
  <c r="U574" i="1"/>
  <c r="R574" i="1"/>
  <c r="AA576" i="3"/>
  <c r="Z577" i="3" s="1"/>
  <c r="S574" i="1" l="1"/>
  <c r="K576" i="3"/>
  <c r="M576" i="3" l="1"/>
  <c r="L576" i="3"/>
  <c r="O576" i="3" s="1"/>
  <c r="X576" i="3" s="1"/>
  <c r="V576" i="3" l="1"/>
  <c r="D577" i="3"/>
  <c r="N576" i="3"/>
  <c r="E577" i="3" s="1"/>
  <c r="F577" i="3" l="1"/>
  <c r="G577" i="3"/>
  <c r="Y577" i="3"/>
  <c r="H577" i="3" s="1"/>
  <c r="U575" i="1" l="1"/>
  <c r="I577" i="3"/>
  <c r="AA577" i="3"/>
  <c r="Z578" i="3" s="1"/>
  <c r="R575" i="1"/>
  <c r="K577" i="3" l="1"/>
  <c r="S575" i="1"/>
  <c r="M577" i="3" l="1"/>
  <c r="L577" i="3"/>
  <c r="O577" i="3" s="1"/>
  <c r="X577" i="3" s="1"/>
  <c r="D578" i="3"/>
  <c r="N577" i="3"/>
  <c r="E578" i="3" s="1"/>
  <c r="V577" i="3"/>
  <c r="G578" i="3" l="1"/>
  <c r="F578" i="3"/>
  <c r="Y578" i="3"/>
  <c r="U576" i="1" l="1"/>
  <c r="H578" i="3"/>
  <c r="R576" i="1" l="1"/>
  <c r="I578" i="3"/>
  <c r="AA578" i="3"/>
  <c r="Z579" i="3" s="1"/>
  <c r="S576" i="1" l="1"/>
  <c r="K578" i="3"/>
  <c r="L578" i="3" l="1"/>
  <c r="O578" i="3" s="1"/>
  <c r="X578" i="3" s="1"/>
  <c r="M578" i="3"/>
  <c r="V578" i="3" s="1"/>
  <c r="D579" i="3" l="1"/>
  <c r="N578" i="3"/>
  <c r="E579" i="3" s="1"/>
  <c r="G579" i="3" l="1"/>
  <c r="F579" i="3"/>
  <c r="Y579" i="3"/>
  <c r="U577" i="1" l="1"/>
  <c r="H579" i="3"/>
  <c r="R577" i="1" l="1"/>
  <c r="I579" i="3"/>
  <c r="AA579" i="3"/>
  <c r="Z580" i="3" s="1"/>
  <c r="S577" i="1" l="1"/>
  <c r="K579" i="3"/>
  <c r="L579" i="3" l="1"/>
  <c r="O579" i="3" s="1"/>
  <c r="X579" i="3" s="1"/>
  <c r="M579" i="3"/>
  <c r="N579" i="3" l="1"/>
  <c r="E580" i="3" s="1"/>
  <c r="D580" i="3"/>
  <c r="V579" i="3"/>
  <c r="F580" i="3" l="1"/>
  <c r="Y580" i="3"/>
  <c r="G580" i="3"/>
  <c r="H580" i="3" l="1"/>
  <c r="I580" i="3" s="1"/>
  <c r="U578" i="1"/>
  <c r="K580" i="3" l="1"/>
  <c r="S578" i="1"/>
  <c r="R578" i="1"/>
  <c r="AA580" i="3"/>
  <c r="Z581" i="3" s="1"/>
  <c r="L580" i="3" l="1"/>
  <c r="O580" i="3" s="1"/>
  <c r="X580" i="3" s="1"/>
  <c r="M580" i="3"/>
  <c r="N580" i="3" s="1"/>
  <c r="E581" i="3" s="1"/>
  <c r="V580" i="3" l="1"/>
  <c r="D581" i="3"/>
  <c r="Y581" i="3" s="1"/>
  <c r="G581" i="3" l="1"/>
  <c r="F581" i="3"/>
  <c r="H581" i="3" l="1"/>
  <c r="U579" i="1"/>
  <c r="R579" i="1" l="1"/>
  <c r="I581" i="3"/>
  <c r="AA581" i="3"/>
  <c r="Z582" i="3" s="1"/>
  <c r="K581" i="3" l="1"/>
  <c r="S579" i="1"/>
  <c r="M581" i="3" l="1"/>
  <c r="L581" i="3"/>
  <c r="O581" i="3" s="1"/>
  <c r="X581" i="3" s="1"/>
  <c r="M52" i="1"/>
  <c r="D582" i="3"/>
  <c r="V581" i="3" l="1"/>
  <c r="N581" i="3"/>
  <c r="E582" i="3" s="1"/>
  <c r="F582" i="3"/>
  <c r="G582" i="3"/>
  <c r="U580" i="1" s="1"/>
  <c r="Y582" i="3"/>
  <c r="H582" i="3" l="1"/>
  <c r="AA582" i="3" s="1"/>
  <c r="Z583" i="3" s="1"/>
  <c r="R580" i="1" l="1"/>
  <c r="I582" i="3"/>
  <c r="K582" i="3" l="1"/>
  <c r="S580" i="1"/>
  <c r="L582" i="3" l="1"/>
  <c r="O582" i="3" s="1"/>
  <c r="X582" i="3" s="1"/>
  <c r="M582" i="3"/>
  <c r="N582" i="3" l="1"/>
  <c r="E583" i="3" s="1"/>
  <c r="D583" i="3"/>
  <c r="V582" i="3"/>
  <c r="G583" i="3" l="1"/>
  <c r="Y583" i="3"/>
  <c r="F583" i="3"/>
  <c r="U581" i="1" l="1"/>
  <c r="H583" i="3"/>
  <c r="I583" i="3" s="1"/>
  <c r="R581" i="1" l="1"/>
  <c r="AA583" i="3"/>
  <c r="Z584" i="3" s="1"/>
  <c r="K583" i="3"/>
  <c r="S581" i="1"/>
  <c r="L583" i="3" l="1"/>
  <c r="O583" i="3" s="1"/>
  <c r="X583" i="3" s="1"/>
  <c r="M583" i="3"/>
  <c r="V583" i="3" s="1"/>
  <c r="D584" i="3" l="1"/>
  <c r="N583" i="3"/>
  <c r="E584" i="3" s="1"/>
  <c r="F584" i="3" l="1"/>
  <c r="Y584" i="3"/>
  <c r="G584" i="3"/>
  <c r="U582" i="1" s="1"/>
  <c r="H584" i="3" l="1"/>
  <c r="AA584" i="3" s="1"/>
  <c r="Z585" i="3" s="1"/>
  <c r="R582" i="1" l="1"/>
  <c r="I584" i="3"/>
  <c r="K584" i="3" l="1"/>
  <c r="S582" i="1"/>
  <c r="L584" i="3" l="1"/>
  <c r="O584" i="3" s="1"/>
  <c r="X584" i="3" s="1"/>
  <c r="M584" i="3"/>
  <c r="D585" i="3" l="1"/>
  <c r="N584" i="3"/>
  <c r="E585" i="3" s="1"/>
  <c r="V584" i="3"/>
  <c r="G585" i="3" l="1"/>
  <c r="Y585" i="3"/>
  <c r="F585" i="3"/>
  <c r="U583" i="1" l="1"/>
  <c r="H585" i="3"/>
  <c r="R583" i="1" l="1"/>
  <c r="I585" i="3"/>
  <c r="AA585" i="3"/>
  <c r="Z586" i="3" s="1"/>
  <c r="K585" i="3" l="1"/>
  <c r="S583" i="1"/>
  <c r="M585" i="3" l="1"/>
  <c r="V585" i="3" s="1"/>
  <c r="L585" i="3"/>
  <c r="O585" i="3" s="1"/>
  <c r="X585" i="3" s="1"/>
  <c r="N585" i="3"/>
  <c r="E586" i="3" s="1"/>
  <c r="D586" i="3"/>
  <c r="G586" i="3" l="1"/>
  <c r="F586" i="3"/>
  <c r="Y586" i="3"/>
  <c r="U584" i="1" l="1"/>
  <c r="H586" i="3"/>
  <c r="R584" i="1" l="1"/>
  <c r="I586" i="3"/>
  <c r="AA586" i="3"/>
  <c r="Z587" i="3" s="1"/>
  <c r="K586" i="3" l="1"/>
  <c r="S584" i="1"/>
  <c r="L586" i="3" l="1"/>
  <c r="O586" i="3" s="1"/>
  <c r="X586" i="3" s="1"/>
  <c r="M586" i="3"/>
  <c r="V586" i="3" l="1"/>
  <c r="D587" i="3"/>
  <c r="N586" i="3"/>
  <c r="E587" i="3" s="1"/>
  <c r="F587" i="3" l="1"/>
  <c r="G587" i="3"/>
  <c r="Y587" i="3"/>
  <c r="U585" i="1" l="1"/>
  <c r="H587" i="3"/>
  <c r="AA587" i="3" s="1"/>
  <c r="Z588" i="3" s="1"/>
  <c r="R585" i="1" l="1"/>
  <c r="I587" i="3"/>
  <c r="K587" i="3" s="1"/>
  <c r="S585" i="1"/>
  <c r="L587" i="3" l="1"/>
  <c r="O587" i="3" s="1"/>
  <c r="X587" i="3" s="1"/>
  <c r="M587" i="3"/>
  <c r="D588" i="3" l="1"/>
  <c r="N587" i="3"/>
  <c r="E588" i="3" s="1"/>
  <c r="V587" i="3"/>
  <c r="F588" i="3" l="1"/>
  <c r="G588" i="3"/>
  <c r="Y588" i="3"/>
  <c r="U586" i="1" l="1"/>
  <c r="H588" i="3"/>
  <c r="R586" i="1" l="1"/>
  <c r="I588" i="3"/>
  <c r="AA588" i="3"/>
  <c r="Z589" i="3" s="1"/>
  <c r="K588" i="3" l="1"/>
  <c r="S586" i="1"/>
  <c r="L588" i="3" l="1"/>
  <c r="O588" i="3" s="1"/>
  <c r="X588" i="3" s="1"/>
  <c r="M588" i="3"/>
  <c r="V588" i="3" l="1"/>
  <c r="D589" i="3"/>
  <c r="N588" i="3"/>
  <c r="E589" i="3" s="1"/>
  <c r="G589" i="3" l="1"/>
  <c r="F589" i="3"/>
  <c r="Y589" i="3"/>
  <c r="U587" i="1" l="1"/>
  <c r="H589" i="3"/>
  <c r="R587" i="1" l="1"/>
  <c r="I589" i="3"/>
  <c r="AA589" i="3"/>
  <c r="Z590" i="3" s="1"/>
  <c r="S587" i="1" l="1"/>
  <c r="K589" i="3"/>
  <c r="L589" i="3" l="1"/>
  <c r="O589" i="3" s="1"/>
  <c r="X589" i="3" s="1"/>
  <c r="M589" i="3"/>
  <c r="V589" i="3" s="1"/>
  <c r="D590" i="3" l="1"/>
  <c r="N589" i="3"/>
  <c r="E590" i="3" s="1"/>
  <c r="Y590" i="3" l="1"/>
  <c r="G590" i="3"/>
  <c r="U588" i="1" s="1"/>
  <c r="F590" i="3"/>
  <c r="H590" i="3" l="1"/>
  <c r="AA590" i="3" s="1"/>
  <c r="Z591" i="3" s="1"/>
  <c r="R588" i="1" l="1"/>
  <c r="I590" i="3"/>
  <c r="K590" i="3" l="1"/>
  <c r="S588" i="1"/>
  <c r="L590" i="3" l="1"/>
  <c r="O590" i="3" s="1"/>
  <c r="X590" i="3" s="1"/>
  <c r="M590" i="3"/>
  <c r="V590" i="3" s="1"/>
  <c r="D591" i="3" l="1"/>
  <c r="N590" i="3"/>
  <c r="E591" i="3" s="1"/>
  <c r="Y591" i="3" l="1"/>
  <c r="G591" i="3"/>
  <c r="F591" i="3"/>
  <c r="H591" i="3" l="1"/>
  <c r="I591" i="3" s="1"/>
  <c r="U589" i="1"/>
  <c r="K591" i="3" l="1"/>
  <c r="S589" i="1"/>
  <c r="R589" i="1"/>
  <c r="AA591" i="3"/>
  <c r="Z592" i="3" s="1"/>
  <c r="L591" i="3" l="1"/>
  <c r="O591" i="3" s="1"/>
  <c r="X591" i="3" s="1"/>
  <c r="M591" i="3"/>
  <c r="V591" i="3" s="1"/>
  <c r="D592" i="3" l="1"/>
  <c r="N591" i="3"/>
  <c r="E592" i="3" s="1"/>
  <c r="G592" i="3" l="1"/>
  <c r="F592" i="3"/>
  <c r="Y592" i="3"/>
  <c r="U590" i="1" l="1"/>
  <c r="H592" i="3"/>
  <c r="R590" i="1" l="1"/>
  <c r="I592" i="3"/>
  <c r="AA592" i="3"/>
  <c r="Z593" i="3" s="1"/>
  <c r="K592" i="3" l="1"/>
  <c r="S590" i="1"/>
  <c r="L592" i="3" l="1"/>
  <c r="O592" i="3" s="1"/>
  <c r="X592" i="3" s="1"/>
  <c r="M592" i="3"/>
  <c r="V592" i="3" l="1"/>
  <c r="N592" i="3"/>
  <c r="E593" i="3" s="1"/>
  <c r="D593" i="3"/>
  <c r="G593" i="3" s="1"/>
  <c r="U591" i="1" s="1"/>
  <c r="Y593" i="3"/>
  <c r="F593" i="3"/>
  <c r="H593" i="3" l="1"/>
  <c r="AA593" i="3" s="1"/>
  <c r="Z594" i="3" s="1"/>
  <c r="R591" i="1" l="1"/>
  <c r="I593" i="3"/>
  <c r="K593" i="3" l="1"/>
  <c r="S591" i="1"/>
  <c r="L593" i="3" l="1"/>
  <c r="O593" i="3" s="1"/>
  <c r="X593" i="3" s="1"/>
  <c r="M593" i="3"/>
  <c r="V593" i="3" s="1"/>
  <c r="N593" i="3" l="1"/>
  <c r="E594" i="3" s="1"/>
  <c r="D594" i="3"/>
  <c r="M53" i="1"/>
  <c r="F594" i="3" l="1"/>
  <c r="G594" i="3"/>
  <c r="U592" i="1" s="1"/>
  <c r="Y594" i="3"/>
  <c r="H594" i="3" l="1"/>
  <c r="AA594" i="3" s="1"/>
  <c r="Z595" i="3" s="1"/>
  <c r="R592" i="1" l="1"/>
  <c r="I594" i="3"/>
  <c r="K594" i="3" l="1"/>
  <c r="S592" i="1"/>
  <c r="L594" i="3" l="1"/>
  <c r="O594" i="3" s="1"/>
  <c r="X594" i="3" s="1"/>
  <c r="M594" i="3"/>
  <c r="D595" i="3" l="1"/>
  <c r="N594" i="3"/>
  <c r="E595" i="3" s="1"/>
  <c r="V594" i="3"/>
  <c r="Y595" i="3" l="1"/>
  <c r="F595" i="3"/>
  <c r="G595" i="3"/>
  <c r="H595" i="3" l="1"/>
  <c r="U593" i="1"/>
  <c r="R593" i="1" l="1"/>
  <c r="AA595" i="3"/>
  <c r="Z596" i="3" s="1"/>
  <c r="I595" i="3"/>
  <c r="S593" i="1" l="1"/>
  <c r="K595" i="3"/>
  <c r="M595" i="3" l="1"/>
  <c r="L595" i="3"/>
  <c r="O595" i="3" s="1"/>
  <c r="X595" i="3" s="1"/>
  <c r="D596" i="3"/>
  <c r="N595" i="3"/>
  <c r="E596" i="3" s="1"/>
  <c r="V595" i="3"/>
  <c r="G596" i="3" l="1"/>
  <c r="F596" i="3"/>
  <c r="Y596" i="3"/>
  <c r="U594" i="1" l="1"/>
  <c r="H596" i="3"/>
  <c r="I596" i="3" s="1"/>
  <c r="K596" i="3" l="1"/>
  <c r="S594" i="1"/>
  <c r="AA596" i="3"/>
  <c r="Z597" i="3" s="1"/>
  <c r="R594" i="1"/>
  <c r="L596" i="3" l="1"/>
  <c r="O596" i="3" s="1"/>
  <c r="X596" i="3" s="1"/>
  <c r="M596" i="3"/>
  <c r="D597" i="3" l="1"/>
  <c r="V596" i="3"/>
  <c r="N596" i="3"/>
  <c r="E597" i="3" s="1"/>
  <c r="G597" i="3" l="1"/>
  <c r="U595" i="1" s="1"/>
  <c r="F597" i="3"/>
  <c r="Y597" i="3"/>
  <c r="H597" i="3" l="1"/>
  <c r="R595" i="1" l="1"/>
  <c r="AA597" i="3"/>
  <c r="Z598" i="3" s="1"/>
  <c r="I597" i="3"/>
  <c r="S595" i="1"/>
  <c r="K597" i="3"/>
  <c r="L597" i="3" l="1"/>
  <c r="O597" i="3" s="1"/>
  <c r="X597" i="3" s="1"/>
  <c r="M597" i="3"/>
  <c r="N597" i="3" l="1"/>
  <c r="E598" i="3" s="1"/>
  <c r="D598" i="3"/>
  <c r="V597" i="3"/>
  <c r="G598" i="3" l="1"/>
  <c r="F598" i="3"/>
  <c r="Y598" i="3"/>
  <c r="U596" i="1" l="1"/>
  <c r="H598" i="3"/>
  <c r="I598" i="3" s="1"/>
  <c r="R596" i="1" l="1"/>
  <c r="AA598" i="3"/>
  <c r="Z599" i="3" s="1"/>
  <c r="K598" i="3"/>
  <c r="S596" i="1"/>
  <c r="L598" i="3" l="1"/>
  <c r="O598" i="3" s="1"/>
  <c r="X598" i="3" s="1"/>
  <c r="M598" i="3"/>
  <c r="D599" i="3" l="1"/>
  <c r="Y599" i="3" s="1"/>
  <c r="N598" i="3"/>
  <c r="E599" i="3" s="1"/>
  <c r="V598" i="3"/>
  <c r="F599" i="3" l="1"/>
  <c r="G599" i="3"/>
  <c r="U597" i="1" l="1"/>
  <c r="H599" i="3"/>
  <c r="R597" i="1" s="1"/>
  <c r="I599" i="3" l="1"/>
  <c r="AA599" i="3"/>
  <c r="Z600" i="3" s="1"/>
  <c r="S597" i="1" l="1"/>
  <c r="K599" i="3"/>
  <c r="M599" i="3" l="1"/>
  <c r="N599" i="3" s="1"/>
  <c r="E600" i="3" s="1"/>
  <c r="L599" i="3"/>
  <c r="O599" i="3" s="1"/>
  <c r="X599" i="3" s="1"/>
  <c r="V599" i="3" l="1"/>
  <c r="D600" i="3"/>
  <c r="G600" i="3" s="1"/>
  <c r="F600" i="3" l="1"/>
  <c r="Y600" i="3"/>
  <c r="U598" i="1"/>
  <c r="H600" i="3"/>
  <c r="AA600" i="3" s="1"/>
  <c r="Z601" i="3" s="1"/>
  <c r="R598" i="1" l="1"/>
  <c r="I600" i="3"/>
  <c r="S598" i="1" l="1"/>
  <c r="K600" i="3"/>
  <c r="M600" i="3" l="1"/>
  <c r="L600" i="3"/>
  <c r="O600" i="3" s="1"/>
  <c r="X600" i="3" s="1"/>
  <c r="V600" i="3" l="1"/>
  <c r="D601" i="3"/>
  <c r="F601" i="3" s="1"/>
  <c r="N600" i="3"/>
  <c r="E601" i="3" s="1"/>
  <c r="Y601" i="3"/>
  <c r="G601" i="3"/>
  <c r="U599" i="1" l="1"/>
  <c r="H601" i="3"/>
  <c r="I601" i="3" s="1"/>
  <c r="K601" i="3" l="1"/>
  <c r="S599" i="1"/>
  <c r="AA601" i="3"/>
  <c r="Z602" i="3" s="1"/>
  <c r="R599" i="1"/>
  <c r="L601" i="3" l="1"/>
  <c r="O601" i="3" s="1"/>
  <c r="X601" i="3" s="1"/>
  <c r="M601" i="3"/>
  <c r="V601" i="3" l="1"/>
  <c r="D602" i="3"/>
  <c r="N601" i="3"/>
  <c r="E602" i="3" s="1"/>
  <c r="G602" i="3" l="1"/>
  <c r="F602" i="3"/>
  <c r="Y602" i="3"/>
  <c r="H602" i="3" l="1"/>
  <c r="U600" i="1"/>
  <c r="AA602" i="3" l="1"/>
  <c r="Z603" i="3" s="1"/>
  <c r="I602" i="3"/>
  <c r="R600" i="1"/>
  <c r="S600" i="1" l="1"/>
  <c r="K602" i="3"/>
  <c r="L602" i="3" l="1"/>
  <c r="O602" i="3" s="1"/>
  <c r="X602" i="3" s="1"/>
  <c r="M602" i="3"/>
  <c r="V602" i="3" s="1"/>
  <c r="N602" i="3" l="1"/>
  <c r="E603" i="3" s="1"/>
  <c r="D603" i="3"/>
  <c r="F603" i="3" l="1"/>
  <c r="Y603" i="3"/>
  <c r="G603" i="3"/>
  <c r="H603" i="3" l="1"/>
  <c r="U601" i="1"/>
  <c r="R601" i="1" l="1"/>
  <c r="AA603" i="3"/>
  <c r="Z604" i="3" s="1"/>
  <c r="I603" i="3"/>
  <c r="S601" i="1" l="1"/>
  <c r="K603" i="3"/>
  <c r="L603" i="3" l="1"/>
  <c r="O603" i="3" s="1"/>
  <c r="X603" i="3" s="1"/>
  <c r="M603" i="3"/>
  <c r="V603" i="3" l="1"/>
  <c r="D604" i="3"/>
  <c r="N603" i="3"/>
  <c r="E604" i="3" s="1"/>
  <c r="G604" i="3" l="1"/>
  <c r="F604" i="3"/>
  <c r="Y604" i="3"/>
  <c r="H604" i="3" l="1"/>
  <c r="U602" i="1"/>
  <c r="AA604" i="3" l="1"/>
  <c r="Z605" i="3" s="1"/>
  <c r="I604" i="3"/>
  <c r="R602" i="1"/>
  <c r="K604" i="3" l="1"/>
  <c r="S602" i="1"/>
  <c r="M604" i="3" l="1"/>
  <c r="L604" i="3"/>
  <c r="O604" i="3" s="1"/>
  <c r="X604" i="3" s="1"/>
  <c r="N604" i="3"/>
  <c r="E605" i="3" s="1"/>
  <c r="D605" i="3"/>
  <c r="V604" i="3"/>
  <c r="Y605" i="3" l="1"/>
  <c r="F605" i="3"/>
  <c r="G605" i="3"/>
  <c r="C10" i="1"/>
  <c r="U603" i="1" l="1"/>
  <c r="V6" i="1" s="1"/>
  <c r="C13" i="1"/>
  <c r="D13" i="1" s="1"/>
  <c r="C11" i="1"/>
  <c r="D10" i="1"/>
  <c r="H605" i="3"/>
  <c r="W583" i="1" l="1"/>
  <c r="W366" i="1"/>
  <c r="W412" i="1"/>
  <c r="X12" i="1"/>
  <c r="X427" i="1"/>
  <c r="W485" i="1"/>
  <c r="W445" i="1"/>
  <c r="W118" i="1"/>
  <c r="W275" i="1"/>
  <c r="W89" i="1"/>
  <c r="W276" i="1"/>
  <c r="W323" i="1"/>
  <c r="W508" i="1"/>
  <c r="W565" i="1"/>
  <c r="W494" i="1"/>
  <c r="X502" i="1"/>
  <c r="X514" i="1"/>
  <c r="X526" i="1"/>
  <c r="X585" i="1"/>
  <c r="X16" i="1"/>
  <c r="X352" i="1"/>
  <c r="W24" i="1"/>
  <c r="W144" i="1"/>
  <c r="X342" i="1"/>
  <c r="X9" i="1"/>
  <c r="X204" i="1"/>
  <c r="W159" i="1"/>
  <c r="W190" i="1"/>
  <c r="X380" i="1"/>
  <c r="X104" i="1"/>
  <c r="X415" i="1"/>
  <c r="W40" i="1"/>
  <c r="W169" i="1"/>
  <c r="W511" i="1"/>
  <c r="X560" i="1"/>
  <c r="X230" i="1"/>
  <c r="X451" i="1"/>
  <c r="X123" i="1"/>
  <c r="W326" i="1"/>
  <c r="X358" i="1"/>
  <c r="W497" i="1"/>
  <c r="W582" i="1"/>
  <c r="W423" i="1"/>
  <c r="X115" i="1"/>
  <c r="X425" i="1"/>
  <c r="W29" i="1"/>
  <c r="W103" i="1"/>
  <c r="W524" i="1"/>
  <c r="X180" i="1"/>
  <c r="X184" i="1"/>
  <c r="X97" i="1"/>
  <c r="X29" i="1"/>
  <c r="W171" i="1"/>
  <c r="W172" i="1"/>
  <c r="W173" i="1"/>
  <c r="W174" i="1"/>
  <c r="X174" i="1"/>
  <c r="W175" i="1"/>
  <c r="X175" i="1"/>
  <c r="W176" i="1"/>
  <c r="X176" i="1"/>
  <c r="W177" i="1"/>
  <c r="X177" i="1"/>
  <c r="W178" i="1"/>
  <c r="X178" i="1"/>
  <c r="W179" i="1"/>
  <c r="W180" i="1"/>
  <c r="W181" i="1"/>
  <c r="X182" i="1"/>
  <c r="X183" i="1"/>
  <c r="W184" i="1"/>
  <c r="W185" i="1"/>
  <c r="W186" i="1"/>
  <c r="W187" i="1"/>
  <c r="X188" i="1"/>
  <c r="X47" i="1"/>
  <c r="W192" i="1"/>
  <c r="W196" i="1"/>
  <c r="W203" i="1"/>
  <c r="W206" i="1"/>
  <c r="W113" i="1"/>
  <c r="X73" i="1"/>
  <c r="W369" i="1"/>
  <c r="W51" i="1"/>
  <c r="X567" i="1"/>
  <c r="W402" i="1"/>
  <c r="X128" i="1"/>
  <c r="W452" i="1"/>
  <c r="X8" i="1"/>
  <c r="W526" i="1"/>
  <c r="W170" i="1"/>
  <c r="X507" i="1"/>
  <c r="W344" i="1"/>
  <c r="X33" i="1"/>
  <c r="W62" i="1"/>
  <c r="X472" i="1"/>
  <c r="X85" i="1"/>
  <c r="X540" i="1"/>
  <c r="W457" i="1"/>
  <c r="X131" i="1"/>
  <c r="X81" i="1"/>
  <c r="W547" i="1"/>
  <c r="X11" i="1"/>
  <c r="X68" i="1"/>
  <c r="X153" i="1"/>
  <c r="X412" i="1"/>
  <c r="X297" i="1"/>
  <c r="W120" i="1"/>
  <c r="X158" i="1"/>
  <c r="W160" i="1"/>
  <c r="X250" i="1"/>
  <c r="W447" i="1"/>
  <c r="W37" i="1"/>
  <c r="W117" i="1"/>
  <c r="X162" i="1"/>
  <c r="W363" i="1"/>
  <c r="W479" i="1"/>
  <c r="X574" i="1"/>
  <c r="W210" i="1"/>
  <c r="X290" i="1"/>
  <c r="X416" i="1"/>
  <c r="W358" i="1"/>
  <c r="W396" i="1"/>
  <c r="W442" i="1"/>
  <c r="X565" i="1"/>
  <c r="X120" i="1"/>
  <c r="X375" i="1"/>
  <c r="X460" i="1"/>
  <c r="W68" i="1"/>
  <c r="X325" i="1"/>
  <c r="W340" i="1"/>
  <c r="W383" i="1"/>
  <c r="X336" i="1"/>
  <c r="W504" i="1"/>
  <c r="W577" i="1"/>
  <c r="W411" i="1"/>
  <c r="X34" i="1"/>
  <c r="W108" i="1"/>
  <c r="W248" i="1"/>
  <c r="W136" i="1"/>
  <c r="W324" i="1"/>
  <c r="X161" i="1"/>
  <c r="X163" i="1"/>
  <c r="W165" i="1"/>
  <c r="W168" i="1"/>
  <c r="X71" i="1"/>
  <c r="X271" i="1"/>
  <c r="X495" i="1"/>
  <c r="X528" i="1"/>
  <c r="W559" i="1"/>
  <c r="X568" i="1"/>
  <c r="X28" i="1"/>
  <c r="W240" i="1"/>
  <c r="W244" i="1"/>
  <c r="X252" i="1"/>
  <c r="W232" i="1"/>
  <c r="W255" i="1"/>
  <c r="W220" i="1"/>
  <c r="W327" i="1"/>
  <c r="X210" i="1"/>
  <c r="X103" i="1"/>
  <c r="W163" i="1"/>
  <c r="X166" i="1"/>
  <c r="X169" i="1"/>
  <c r="W84" i="1"/>
  <c r="X385" i="1"/>
  <c r="X390" i="1"/>
  <c r="X267" i="1"/>
  <c r="W488" i="1"/>
  <c r="W510" i="1"/>
  <c r="W530" i="1"/>
  <c r="X229" i="1"/>
  <c r="W235" i="1"/>
  <c r="X236" i="1"/>
  <c r="W238" i="1"/>
  <c r="W243" i="1"/>
  <c r="W247" i="1"/>
  <c r="W252" i="1"/>
  <c r="X338" i="1"/>
  <c r="W386" i="1"/>
  <c r="X191" i="1"/>
  <c r="W385" i="1"/>
  <c r="W399" i="1"/>
  <c r="X140" i="1"/>
  <c r="X143" i="1"/>
  <c r="W249" i="1"/>
  <c r="W14" i="1"/>
  <c r="W529" i="1"/>
  <c r="W538" i="1"/>
  <c r="W119" i="1"/>
  <c r="X266" i="1"/>
  <c r="W470" i="1"/>
  <c r="X98" i="1"/>
  <c r="X515" i="1"/>
  <c r="X549" i="1"/>
  <c r="X477" i="1"/>
  <c r="W31" i="1"/>
  <c r="W597" i="1"/>
  <c r="W487" i="1"/>
  <c r="X227" i="1"/>
  <c r="W149" i="1"/>
  <c r="W242" i="1"/>
  <c r="X281" i="1"/>
  <c r="X475" i="1"/>
  <c r="W520" i="1"/>
  <c r="W548" i="1"/>
  <c r="X221" i="1"/>
  <c r="X291" i="1"/>
  <c r="X116" i="1"/>
  <c r="X402" i="1"/>
  <c r="W474" i="1"/>
  <c r="W539" i="1"/>
  <c r="W551" i="1"/>
  <c r="W567" i="1"/>
  <c r="W354" i="1"/>
  <c r="W484" i="1"/>
  <c r="X422" i="1"/>
  <c r="X499" i="1"/>
  <c r="W368" i="1"/>
  <c r="W21" i="1"/>
  <c r="X430" i="1"/>
  <c r="W373" i="1"/>
  <c r="W589" i="1"/>
  <c r="X44" i="1"/>
  <c r="X337" i="1"/>
  <c r="W339" i="1"/>
  <c r="X270" i="1"/>
  <c r="W531" i="1"/>
  <c r="W371" i="1"/>
  <c r="W573" i="1"/>
  <c r="W337" i="1"/>
  <c r="W581" i="1"/>
  <c r="X459" i="1"/>
  <c r="W586" i="1"/>
  <c r="W20" i="1"/>
  <c r="W433" i="1"/>
  <c r="W32" i="1"/>
  <c r="X171" i="1"/>
  <c r="W198" i="1"/>
  <c r="X222" i="1"/>
  <c r="X455" i="1"/>
  <c r="W130" i="1"/>
  <c r="W444" i="1"/>
  <c r="X214" i="1"/>
  <c r="W241" i="1"/>
  <c r="X246" i="1"/>
  <c r="X263" i="1"/>
  <c r="W265" i="1"/>
  <c r="W272" i="1"/>
  <c r="X510" i="1"/>
  <c r="X533" i="1"/>
  <c r="X538" i="1"/>
  <c r="X550" i="1"/>
  <c r="X571" i="1"/>
  <c r="W507" i="1"/>
  <c r="X532" i="1"/>
  <c r="X548" i="1"/>
  <c r="W570" i="1"/>
  <c r="W372" i="1"/>
  <c r="X280" i="1"/>
  <c r="X287" i="1"/>
  <c r="W295" i="1"/>
  <c r="X563" i="1"/>
  <c r="W61" i="1"/>
  <c r="X458" i="1"/>
  <c r="X76" i="1"/>
  <c r="W52" i="1"/>
  <c r="X37" i="1"/>
  <c r="X130" i="1"/>
  <c r="W143" i="1"/>
  <c r="W66" i="1"/>
  <c r="W400" i="1"/>
  <c r="W131" i="1"/>
  <c r="X284" i="1"/>
  <c r="W506" i="1"/>
  <c r="W207" i="1"/>
  <c r="X508" i="1"/>
  <c r="X484" i="1"/>
  <c r="W64" i="1"/>
  <c r="W53" i="1"/>
  <c r="X359" i="1"/>
  <c r="W74" i="1"/>
  <c r="W251" i="1"/>
  <c r="W41" i="1"/>
  <c r="X232" i="1"/>
  <c r="X381" i="1"/>
  <c r="X400" i="1"/>
  <c r="X420" i="1"/>
  <c r="W110" i="1"/>
  <c r="W465" i="1"/>
  <c r="W82" i="1"/>
  <c r="W522" i="1"/>
  <c r="W545" i="1"/>
  <c r="W556" i="1"/>
  <c r="X444" i="1"/>
  <c r="X195" i="1"/>
  <c r="X75" i="1"/>
  <c r="W549" i="1"/>
  <c r="W593" i="1"/>
  <c r="W215" i="1"/>
  <c r="X391" i="1"/>
  <c r="X504" i="1"/>
  <c r="W592" i="1"/>
  <c r="X511" i="1"/>
  <c r="W100" i="1"/>
  <c r="W359" i="1"/>
  <c r="X92" i="1"/>
  <c r="W125" i="1"/>
  <c r="W355" i="1"/>
  <c r="W361" i="1"/>
  <c r="X226" i="1"/>
  <c r="X439" i="1"/>
  <c r="X328" i="1"/>
  <c r="W419" i="1"/>
  <c r="W7" i="1"/>
  <c r="W268" i="1"/>
  <c r="X277" i="1"/>
  <c r="W43" i="1"/>
  <c r="X107" i="1"/>
  <c r="W47" i="1"/>
  <c r="W562" i="1"/>
  <c r="W505" i="1"/>
  <c r="W351" i="1"/>
  <c r="X474" i="1"/>
  <c r="X468" i="1"/>
  <c r="W293" i="1"/>
  <c r="W114" i="1"/>
  <c r="X151" i="1"/>
  <c r="X378" i="1"/>
  <c r="X407" i="1"/>
  <c r="X490" i="1"/>
  <c r="W544" i="1"/>
  <c r="X35" i="1"/>
  <c r="X154" i="1"/>
  <c r="W166" i="1"/>
  <c r="W228" i="1"/>
  <c r="W162" i="1"/>
  <c r="X181" i="1"/>
  <c r="X559" i="1"/>
  <c r="W132" i="1"/>
  <c r="X309" i="1"/>
  <c r="X19" i="1"/>
  <c r="X482" i="1"/>
  <c r="W537" i="1"/>
  <c r="X463" i="1"/>
  <c r="X388" i="1"/>
  <c r="W216" i="1"/>
  <c r="W309" i="1"/>
  <c r="X434" i="1"/>
  <c r="X43" i="1"/>
  <c r="X397" i="1"/>
  <c r="W271" i="1"/>
  <c r="X335" i="1"/>
  <c r="W463" i="1"/>
  <c r="W129" i="1"/>
  <c r="X466" i="1"/>
  <c r="X343" i="1"/>
  <c r="X93" i="1"/>
  <c r="X212" i="1"/>
  <c r="X244" i="1"/>
  <c r="X462" i="1"/>
  <c r="W75" i="1"/>
  <c r="X348" i="1"/>
  <c r="W233" i="1"/>
  <c r="W245" i="1"/>
  <c r="W315" i="1"/>
  <c r="W259" i="1"/>
  <c r="W424" i="1"/>
  <c r="X88" i="1"/>
  <c r="W222" i="1"/>
  <c r="W349" i="1"/>
  <c r="W500" i="1"/>
  <c r="X413" i="1"/>
  <c r="W335" i="1"/>
  <c r="X218" i="1"/>
  <c r="X220" i="1"/>
  <c r="W231" i="1"/>
  <c r="X265" i="1"/>
  <c r="W466" i="1"/>
  <c r="W167" i="1"/>
  <c r="W59" i="1"/>
  <c r="W63" i="1"/>
  <c r="W269" i="1"/>
  <c r="W391" i="1"/>
  <c r="X112" i="1"/>
  <c r="X215" i="1"/>
  <c r="X234" i="1"/>
  <c r="X243" i="1"/>
  <c r="W254" i="1"/>
  <c r="X258" i="1"/>
  <c r="X529" i="1"/>
  <c r="X537" i="1"/>
  <c r="W250" i="1"/>
  <c r="X535" i="1"/>
  <c r="X288" i="1"/>
  <c r="W296" i="1"/>
  <c r="W302" i="1"/>
  <c r="W375" i="1"/>
  <c r="W501" i="1"/>
  <c r="X395" i="1"/>
  <c r="W438" i="1"/>
  <c r="X457" i="1"/>
  <c r="W191" i="1"/>
  <c r="W115" i="1"/>
  <c r="W322" i="1"/>
  <c r="W580" i="1"/>
  <c r="W246" i="1"/>
  <c r="X196" i="1"/>
  <c r="W81" i="1"/>
  <c r="X517" i="1"/>
  <c r="X436" i="1"/>
  <c r="W164" i="1"/>
  <c r="W267" i="1"/>
  <c r="X394" i="1"/>
  <c r="W28" i="1"/>
  <c r="W79" i="1"/>
  <c r="W534" i="1"/>
  <c r="W183" i="1"/>
  <c r="X208" i="1"/>
  <c r="X144" i="1"/>
  <c r="W426" i="1"/>
  <c r="X372" i="1"/>
  <c r="W17" i="1"/>
  <c r="W579" i="1"/>
  <c r="X603" i="1"/>
  <c r="W258" i="1"/>
  <c r="X374" i="1"/>
  <c r="W27" i="1"/>
  <c r="W318" i="1"/>
  <c r="X173" i="1"/>
  <c r="X69" i="1"/>
  <c r="W204" i="1"/>
  <c r="W449" i="1"/>
  <c r="X189" i="1"/>
  <c r="W221" i="1"/>
  <c r="X231" i="1"/>
  <c r="X241" i="1"/>
  <c r="X253" i="1"/>
  <c r="W142" i="1"/>
  <c r="W600" i="1"/>
  <c r="W595" i="1"/>
  <c r="W603" i="1"/>
  <c r="X63" i="1"/>
  <c r="X333" i="1"/>
  <c r="W107" i="1"/>
  <c r="X580" i="1"/>
  <c r="X566" i="1"/>
  <c r="X553" i="1"/>
  <c r="W346" i="1"/>
  <c r="W283" i="1"/>
  <c r="X486" i="1"/>
  <c r="X593" i="1"/>
  <c r="X46" i="1"/>
  <c r="X225" i="1"/>
  <c r="W405" i="1"/>
  <c r="X91" i="1"/>
  <c r="X126" i="1"/>
  <c r="W205" i="1"/>
  <c r="X239" i="1"/>
  <c r="X247" i="1"/>
  <c r="W261" i="1"/>
  <c r="X582" i="1"/>
  <c r="W404" i="1"/>
  <c r="X78" i="1"/>
  <c r="W234" i="1"/>
  <c r="X587" i="1"/>
  <c r="W273" i="1"/>
  <c r="W80" i="1"/>
  <c r="X206" i="1"/>
  <c r="W352" i="1"/>
  <c r="X386" i="1"/>
  <c r="W277" i="1"/>
  <c r="W281" i="1"/>
  <c r="W285" i="1"/>
  <c r="X286" i="1"/>
  <c r="X289" i="1"/>
  <c r="X292" i="1"/>
  <c r="W301" i="1"/>
  <c r="W304" i="1"/>
  <c r="X496" i="1"/>
  <c r="W446" i="1"/>
  <c r="X254" i="1"/>
  <c r="W310" i="1"/>
  <c r="W229" i="1"/>
  <c r="X106" i="1"/>
  <c r="X351" i="1"/>
  <c r="W435" i="1"/>
  <c r="W437" i="1"/>
  <c r="X441" i="1"/>
  <c r="W379" i="1"/>
  <c r="W584" i="1"/>
  <c r="W588" i="1"/>
  <c r="X399" i="1"/>
  <c r="W65" i="1"/>
  <c r="W360" i="1"/>
  <c r="W374" i="1"/>
  <c r="X404" i="1"/>
  <c r="W486" i="1"/>
  <c r="W598" i="1"/>
  <c r="X125" i="1"/>
  <c r="W365" i="1"/>
  <c r="X449" i="1"/>
  <c r="W398" i="1"/>
  <c r="X418" i="1"/>
  <c r="X133" i="1"/>
  <c r="X39" i="1"/>
  <c r="X142" i="1"/>
  <c r="W306" i="1"/>
  <c r="X414" i="1"/>
  <c r="X480" i="1"/>
  <c r="W560" i="1"/>
  <c r="W34" i="1"/>
  <c r="X493" i="1"/>
  <c r="W515" i="1"/>
  <c r="W418" i="1"/>
  <c r="W39" i="1"/>
  <c r="X185" i="1"/>
  <c r="W557" i="1"/>
  <c r="W367" i="1"/>
  <c r="W154" i="1"/>
  <c r="X147" i="1"/>
  <c r="W312" i="1"/>
  <c r="X209" i="1"/>
  <c r="X599" i="1"/>
  <c r="W161" i="1"/>
  <c r="W182" i="1"/>
  <c r="X575" i="1"/>
  <c r="W49" i="1"/>
  <c r="X251" i="1"/>
  <c r="X72" i="1"/>
  <c r="W94" i="1"/>
  <c r="W378" i="1"/>
  <c r="W353" i="1"/>
  <c r="X403" i="1"/>
  <c r="W338" i="1"/>
  <c r="W195" i="1"/>
  <c r="X197" i="1"/>
  <c r="W199" i="1"/>
  <c r="W201" i="1"/>
  <c r="X202" i="1"/>
  <c r="X207" i="1"/>
  <c r="W214" i="1"/>
  <c r="W218" i="1"/>
  <c r="W71" i="1"/>
  <c r="W121" i="1"/>
  <c r="X371" i="1"/>
  <c r="X410" i="1"/>
  <c r="X435" i="1"/>
  <c r="X323" i="1"/>
  <c r="W236" i="1"/>
  <c r="X321" i="1"/>
  <c r="X332" i="1"/>
  <c r="W469" i="1"/>
  <c r="W532" i="1"/>
  <c r="W543" i="1"/>
  <c r="W591" i="1"/>
  <c r="X319" i="1"/>
  <c r="W146" i="1"/>
  <c r="X32" i="1"/>
  <c r="X145" i="1"/>
  <c r="W83" i="1"/>
  <c r="W482" i="1"/>
  <c r="W408" i="1"/>
  <c r="W208" i="1"/>
  <c r="X66" i="1"/>
  <c r="W91" i="1"/>
  <c r="X320" i="1"/>
  <c r="X350" i="1"/>
  <c r="W406" i="1"/>
  <c r="X408" i="1"/>
  <c r="W414" i="1"/>
  <c r="X570" i="1"/>
  <c r="X61" i="1"/>
  <c r="X334" i="1"/>
  <c r="X134" i="1"/>
  <c r="X478" i="1"/>
  <c r="X361" i="1"/>
  <c r="W525" i="1"/>
  <c r="X299" i="1"/>
  <c r="W356" i="1"/>
  <c r="X25" i="1"/>
  <c r="W568" i="1"/>
  <c r="W493" i="1"/>
  <c r="X310" i="1"/>
  <c r="X60" i="1"/>
  <c r="X602" i="1"/>
  <c r="W60" i="1"/>
  <c r="W492" i="1"/>
  <c r="X95" i="1"/>
  <c r="X487" i="1"/>
  <c r="X137" i="1"/>
  <c r="W321" i="1"/>
  <c r="W441" i="1"/>
  <c r="X539" i="1"/>
  <c r="X304" i="1"/>
  <c r="X272" i="1"/>
  <c r="W230" i="1"/>
  <c r="X213" i="1"/>
  <c r="X262" i="1"/>
  <c r="W46" i="1"/>
  <c r="X314" i="1"/>
  <c r="X308" i="1"/>
  <c r="X300" i="1"/>
  <c r="X445" i="1"/>
  <c r="W518" i="1"/>
  <c r="W141" i="1"/>
  <c r="X201" i="1"/>
  <c r="X355" i="1"/>
  <c r="W417" i="1"/>
  <c r="X168" i="1"/>
  <c r="X124" i="1"/>
  <c r="X269" i="1"/>
  <c r="W503" i="1"/>
  <c r="X193" i="1"/>
  <c r="X235" i="1"/>
  <c r="X326" i="1"/>
  <c r="X438" i="1"/>
  <c r="X53" i="1"/>
  <c r="X476" i="1"/>
  <c r="X268" i="1"/>
  <c r="W13" i="1"/>
  <c r="W454" i="1"/>
  <c r="X447" i="1"/>
  <c r="W104" i="1"/>
  <c r="W193" i="1"/>
  <c r="X545" i="1"/>
  <c r="X546" i="1"/>
  <c r="W513" i="1"/>
  <c r="W535" i="1"/>
  <c r="W590" i="1"/>
  <c r="X500" i="1"/>
  <c r="X520" i="1"/>
  <c r="X26" i="1"/>
  <c r="W35" i="1"/>
  <c r="X543" i="1"/>
  <c r="W76" i="1"/>
  <c r="W439" i="1"/>
  <c r="W364" i="1"/>
  <c r="X437" i="1"/>
  <c r="X556" i="1"/>
  <c r="W200" i="1"/>
  <c r="X45" i="1"/>
  <c r="X481" i="1"/>
  <c r="X573" i="1"/>
  <c r="X579" i="1"/>
  <c r="W453" i="1"/>
  <c r="W102" i="1"/>
  <c r="W152" i="1"/>
  <c r="W137" i="1"/>
  <c r="W313" i="1"/>
  <c r="X519" i="1"/>
  <c r="X110" i="1"/>
  <c r="X22" i="1"/>
  <c r="W226" i="1"/>
  <c r="X446" i="1"/>
  <c r="X340" i="1"/>
  <c r="W325" i="1"/>
  <c r="W112" i="1"/>
  <c r="X113" i="1"/>
  <c r="X322" i="1"/>
  <c r="W594" i="1"/>
  <c r="X366" i="1"/>
  <c r="W574" i="1"/>
  <c r="W317" i="1"/>
  <c r="X36" i="1"/>
  <c r="X491" i="1"/>
  <c r="W155" i="1"/>
  <c r="X505" i="1"/>
  <c r="W489" i="1"/>
  <c r="X276" i="1"/>
  <c r="X138" i="1"/>
  <c r="W33" i="1"/>
  <c r="X172" i="1"/>
  <c r="W462" i="1"/>
  <c r="X255" i="1"/>
  <c r="X194" i="1"/>
  <c r="W253" i="1"/>
  <c r="W389" i="1"/>
  <c r="W58" i="1"/>
  <c r="W9" i="1"/>
  <c r="W109" i="1"/>
  <c r="X389" i="1"/>
  <c r="X199" i="1"/>
  <c r="W116" i="1"/>
  <c r="X523" i="1"/>
  <c r="X339" i="1"/>
  <c r="X139" i="1"/>
  <c r="X442" i="1"/>
  <c r="W473" i="1"/>
  <c r="X52" i="1"/>
  <c r="W415" i="1"/>
  <c r="W320" i="1"/>
  <c r="X149" i="1"/>
  <c r="X396" i="1"/>
  <c r="X318" i="1"/>
  <c r="X261" i="1"/>
  <c r="W97" i="1"/>
  <c r="W427" i="1"/>
  <c r="X367" i="1"/>
  <c r="W147" i="1"/>
  <c r="X146" i="1"/>
  <c r="X157" i="1"/>
  <c r="W300" i="1"/>
  <c r="X554" i="1"/>
  <c r="W569" i="1"/>
  <c r="X31" i="1"/>
  <c r="X275" i="1"/>
  <c r="X278" i="1"/>
  <c r="X279" i="1"/>
  <c r="X282" i="1"/>
  <c r="X283" i="1"/>
  <c r="W288" i="1"/>
  <c r="W291" i="1"/>
  <c r="W294" i="1"/>
  <c r="X295" i="1"/>
  <c r="W297" i="1"/>
  <c r="X298" i="1"/>
  <c r="X302" i="1"/>
  <c r="X305" i="1"/>
  <c r="W307" i="1"/>
  <c r="X383" i="1"/>
  <c r="X38" i="1"/>
  <c r="W333" i="1"/>
  <c r="W223" i="1"/>
  <c r="W596" i="1"/>
  <c r="W139" i="1"/>
  <c r="X398" i="1"/>
  <c r="X357" i="1"/>
  <c r="W425" i="1"/>
  <c r="X86" i="1"/>
  <c r="X216" i="1"/>
  <c r="X7" i="1"/>
  <c r="X432" i="1"/>
  <c r="X541" i="1"/>
  <c r="X497" i="1"/>
  <c r="X433" i="1"/>
  <c r="W289" i="1"/>
  <c r="W478" i="1"/>
  <c r="X179" i="1"/>
  <c r="W90" i="1"/>
  <c r="W345" i="1"/>
  <c r="X156" i="1"/>
  <c r="W480" i="1"/>
  <c r="X56" i="1"/>
  <c r="X102" i="1"/>
  <c r="W587" i="1"/>
  <c r="W298" i="1"/>
  <c r="W105" i="1"/>
  <c r="X150" i="1"/>
  <c r="X547" i="1"/>
  <c r="X461" i="1"/>
  <c r="X211" i="1"/>
  <c r="W471" i="1"/>
  <c r="X136" i="1"/>
  <c r="W72" i="1"/>
  <c r="W555" i="1"/>
  <c r="W566" i="1"/>
  <c r="X306" i="1"/>
  <c r="W491" i="1"/>
  <c r="W407" i="1"/>
  <c r="X114" i="1"/>
  <c r="W86" i="1"/>
  <c r="X17" i="1"/>
  <c r="X240" i="1"/>
  <c r="W499" i="1"/>
  <c r="X552" i="1"/>
  <c r="X307" i="1"/>
  <c r="W290" i="1"/>
  <c r="W299" i="1"/>
  <c r="W516" i="1"/>
  <c r="W38" i="1"/>
  <c r="X27" i="1"/>
  <c r="W10" i="1"/>
  <c r="X152" i="1"/>
  <c r="X429" i="1"/>
  <c r="X296" i="1"/>
  <c r="X564" i="1"/>
  <c r="W101" i="1"/>
  <c r="X347" i="1"/>
  <c r="W392" i="1"/>
  <c r="X121" i="1"/>
  <c r="X536" i="1"/>
  <c r="W292" i="1"/>
  <c r="X392" i="1"/>
  <c r="X525" i="1"/>
  <c r="X368" i="1"/>
  <c r="W362" i="1"/>
  <c r="X516" i="1"/>
  <c r="X105" i="1"/>
  <c r="X452" i="1"/>
  <c r="X89" i="1"/>
  <c r="X346" i="1"/>
  <c r="W278" i="1"/>
  <c r="W157" i="1"/>
  <c r="W305" i="1"/>
  <c r="X384" i="1"/>
  <c r="W8" i="1"/>
  <c r="W213" i="1"/>
  <c r="X228" i="1"/>
  <c r="W78" i="1"/>
  <c r="X54" i="1"/>
  <c r="X598" i="1"/>
  <c r="W145" i="1"/>
  <c r="X421" i="1"/>
  <c r="W189" i="1"/>
  <c r="W550" i="1"/>
  <c r="X369" i="1"/>
  <c r="X264" i="1"/>
  <c r="X327" i="1"/>
  <c r="W434" i="1"/>
  <c r="X503" i="1"/>
  <c r="X492" i="1"/>
  <c r="W381" i="1"/>
  <c r="W96" i="1"/>
  <c r="X370" i="1"/>
  <c r="X534" i="1"/>
  <c r="X405" i="1"/>
  <c r="X233" i="1"/>
  <c r="W459" i="1"/>
  <c r="W376" i="1"/>
  <c r="X317" i="1"/>
  <c r="X273" i="1"/>
  <c r="W561" i="1"/>
  <c r="W350" i="1"/>
  <c r="X341" i="1"/>
  <c r="X588" i="1"/>
  <c r="X192" i="1"/>
  <c r="X313" i="1"/>
  <c r="W397" i="1"/>
  <c r="X454" i="1"/>
  <c r="X74" i="1"/>
  <c r="X109" i="1"/>
  <c r="X316" i="1"/>
  <c r="X354" i="1"/>
  <c r="W384" i="1"/>
  <c r="W410" i="1"/>
  <c r="W15" i="1"/>
  <c r="W36" i="1"/>
  <c r="X315" i="1"/>
  <c r="W343" i="1"/>
  <c r="W394" i="1"/>
  <c r="X419" i="1"/>
  <c r="W224" i="1"/>
  <c r="X259" i="1"/>
  <c r="W270" i="1"/>
  <c r="W286" i="1"/>
  <c r="W430" i="1"/>
  <c r="W282" i="1"/>
  <c r="W308" i="1"/>
  <c r="X501" i="1"/>
  <c r="X426" i="1"/>
  <c r="W431" i="1"/>
  <c r="W85" i="1"/>
  <c r="X96" i="1"/>
  <c r="W432" i="1"/>
  <c r="W266" i="1"/>
  <c r="W88" i="1"/>
  <c r="X345" i="1"/>
  <c r="W421" i="1"/>
  <c r="X531" i="1"/>
  <c r="W274" i="1"/>
  <c r="X24" i="1"/>
  <c r="X119" i="1"/>
  <c r="W263" i="1"/>
  <c r="X494" i="1"/>
  <c r="X581" i="1"/>
  <c r="W468" i="1"/>
  <c r="W188" i="1"/>
  <c r="X200" i="1"/>
  <c r="W476" i="1"/>
  <c r="X87" i="1"/>
  <c r="W341" i="1"/>
  <c r="X301" i="1"/>
  <c r="X77" i="1"/>
  <c r="W127" i="1"/>
  <c r="W409" i="1"/>
  <c r="W55" i="1"/>
  <c r="X376" i="1"/>
  <c r="W67" i="1"/>
  <c r="X453" i="1"/>
  <c r="W148" i="1"/>
  <c r="W450" i="1"/>
  <c r="W22" i="1"/>
  <c r="X118" i="1"/>
  <c r="X198" i="1"/>
  <c r="X555" i="1"/>
  <c r="W140" i="1"/>
  <c r="X94" i="1"/>
  <c r="X349" i="1"/>
  <c r="W533" i="1"/>
  <c r="X237" i="1"/>
  <c r="X557" i="1"/>
  <c r="X41" i="1"/>
  <c r="X524" i="1"/>
  <c r="W578" i="1"/>
  <c r="W284" i="1"/>
  <c r="W219" i="1"/>
  <c r="W69" i="1"/>
  <c r="W455" i="1"/>
  <c r="W287" i="1"/>
  <c r="W331" i="1"/>
  <c r="W401" i="1"/>
  <c r="W464" i="1"/>
  <c r="W512" i="1"/>
  <c r="X159" i="1"/>
  <c r="X363" i="1"/>
  <c r="W558" i="1"/>
  <c r="X165" i="1"/>
  <c r="X187" i="1"/>
  <c r="X443" i="1"/>
  <c r="W393" i="1"/>
  <c r="X148" i="1"/>
  <c r="W158" i="1"/>
  <c r="X186" i="1"/>
  <c r="W194" i="1"/>
  <c r="X578" i="1"/>
  <c r="W448" i="1"/>
  <c r="W456" i="1"/>
  <c r="X48" i="1"/>
  <c r="W477" i="1"/>
  <c r="X90" i="1"/>
  <c r="W332" i="1"/>
  <c r="W542" i="1"/>
  <c r="X30" i="1"/>
  <c r="W413" i="1"/>
  <c r="X577" i="1"/>
  <c r="X365" i="1"/>
  <c r="W382" i="1"/>
  <c r="W330" i="1"/>
  <c r="W280" i="1"/>
  <c r="X294" i="1"/>
  <c r="X303" i="1"/>
  <c r="X311" i="1"/>
  <c r="X470" i="1"/>
  <c r="W18" i="1"/>
  <c r="X99" i="1"/>
  <c r="X594" i="1"/>
  <c r="W93" i="1"/>
  <c r="X6" i="1"/>
  <c r="W348" i="1"/>
  <c r="W16" i="1"/>
  <c r="W528" i="1"/>
  <c r="X224" i="1"/>
  <c r="X331" i="1"/>
  <c r="W440" i="1"/>
  <c r="X238" i="1"/>
  <c r="W87" i="1"/>
  <c r="W237" i="1"/>
  <c r="W316" i="1"/>
  <c r="X344" i="1"/>
  <c r="W227" i="1"/>
  <c r="W429" i="1"/>
  <c r="W239" i="1"/>
  <c r="X249" i="1"/>
  <c r="W256" i="1"/>
  <c r="X83" i="1"/>
  <c r="W26" i="1"/>
  <c r="X164" i="1"/>
  <c r="X406" i="1"/>
  <c r="X256" i="1"/>
  <c r="X108" i="1"/>
  <c r="W403" i="1"/>
  <c r="X70" i="1"/>
  <c r="X203" i="1"/>
  <c r="X79" i="1"/>
  <c r="X219" i="1"/>
  <c r="X248" i="1"/>
  <c r="W602" i="1"/>
  <c r="W70" i="1"/>
  <c r="W156" i="1"/>
  <c r="X387" i="1"/>
  <c r="X223" i="1"/>
  <c r="X561" i="1"/>
  <c r="W122" i="1"/>
  <c r="X129" i="1"/>
  <c r="X329" i="1"/>
  <c r="X360" i="1"/>
  <c r="W481" i="1"/>
  <c r="X465" i="1"/>
  <c r="W303" i="1"/>
  <c r="X411" i="1"/>
  <c r="X464" i="1"/>
  <c r="W495" i="1"/>
  <c r="X513" i="1"/>
  <c r="X527" i="1"/>
  <c r="X601" i="1"/>
  <c r="X596" i="1"/>
  <c r="X127" i="1"/>
  <c r="X562" i="1"/>
  <c r="X55" i="1"/>
  <c r="X260" i="1"/>
  <c r="W264" i="1"/>
  <c r="X591" i="1"/>
  <c r="W475" i="1"/>
  <c r="X274" i="1"/>
  <c r="W328" i="1"/>
  <c r="X597" i="1"/>
  <c r="W133" i="1"/>
  <c r="W496" i="1"/>
  <c r="X576" i="1"/>
  <c r="X544" i="1"/>
  <c r="W134" i="1"/>
  <c r="W370" i="1"/>
  <c r="W571" i="1"/>
  <c r="W420" i="1"/>
  <c r="W73" i="1"/>
  <c r="X111" i="1"/>
  <c r="W202" i="1"/>
  <c r="X450" i="1"/>
  <c r="W197" i="1"/>
  <c r="X170" i="1"/>
  <c r="W211" i="1"/>
  <c r="X522" i="1"/>
  <c r="W6" i="1"/>
  <c r="W111" i="1"/>
  <c r="W416" i="1"/>
  <c r="X84" i="1"/>
  <c r="W311" i="1"/>
  <c r="W54" i="1"/>
  <c r="W99" i="1"/>
  <c r="W554" i="1"/>
  <c r="X15" i="1"/>
  <c r="X50" i="1"/>
  <c r="X592" i="1"/>
  <c r="W98" i="1"/>
  <c r="X589" i="1"/>
  <c r="X364" i="1"/>
  <c r="W138" i="1"/>
  <c r="W390" i="1"/>
  <c r="W517" i="1"/>
  <c r="X245" i="1"/>
  <c r="X217" i="1"/>
  <c r="X379" i="1"/>
  <c r="X401" i="1"/>
  <c r="X417" i="1"/>
  <c r="W257" i="1"/>
  <c r="W279" i="1"/>
  <c r="X285" i="1"/>
  <c r="X423" i="1"/>
  <c r="W151" i="1"/>
  <c r="W336" i="1"/>
  <c r="X10" i="1"/>
  <c r="X155" i="1"/>
  <c r="W523" i="1"/>
  <c r="X190" i="1"/>
  <c r="X471" i="1"/>
  <c r="X440" i="1"/>
  <c r="W467" i="1"/>
  <c r="W422" i="1"/>
  <c r="W502" i="1"/>
  <c r="X509" i="1"/>
  <c r="W514" i="1"/>
  <c r="X518" i="1"/>
  <c r="W527" i="1"/>
  <c r="W585" i="1"/>
  <c r="X590" i="1"/>
  <c r="W601" i="1"/>
  <c r="W44" i="1"/>
  <c r="W57" i="1"/>
  <c r="X59" i="1"/>
  <c r="X64" i="1"/>
  <c r="W106" i="1"/>
  <c r="X473" i="1"/>
  <c r="W483" i="1"/>
  <c r="W490" i="1"/>
  <c r="X353" i="1"/>
  <c r="W30" i="1"/>
  <c r="X141" i="1"/>
  <c r="X51" i="1"/>
  <c r="X428" i="1"/>
  <c r="X132" i="1"/>
  <c r="W217" i="1"/>
  <c r="X356" i="1"/>
  <c r="X469" i="1"/>
  <c r="X424" i="1"/>
  <c r="W395" i="1"/>
  <c r="X521" i="1"/>
  <c r="W45" i="1"/>
  <c r="W23" i="1"/>
  <c r="W77" i="1"/>
  <c r="W380" i="1"/>
  <c r="X569" i="1"/>
  <c r="W509" i="1"/>
  <c r="W19" i="1"/>
  <c r="X583" i="1"/>
  <c r="X13" i="1"/>
  <c r="X409" i="1"/>
  <c r="W42" i="1"/>
  <c r="X167" i="1"/>
  <c r="W262" i="1"/>
  <c r="W357" i="1"/>
  <c r="W95" i="1"/>
  <c r="X479" i="1"/>
  <c r="W153" i="1"/>
  <c r="X551" i="1"/>
  <c r="X57" i="1"/>
  <c r="X483" i="1"/>
  <c r="X40" i="1"/>
  <c r="X377" i="1"/>
  <c r="W150" i="1"/>
  <c r="X80" i="1"/>
  <c r="X242" i="1"/>
  <c r="X330" i="1"/>
  <c r="X257" i="1"/>
  <c r="W48" i="1"/>
  <c r="X160" i="1"/>
  <c r="X65" i="1"/>
  <c r="W388" i="1"/>
  <c r="X18" i="1"/>
  <c r="W472" i="1"/>
  <c r="W461" i="1"/>
  <c r="X324" i="1"/>
  <c r="W314" i="1"/>
  <c r="W541" i="1"/>
  <c r="W553" i="1"/>
  <c r="X62" i="1"/>
  <c r="X485" i="1"/>
  <c r="X498" i="1"/>
  <c r="X506" i="1"/>
  <c r="X512" i="1"/>
  <c r="W521" i="1"/>
  <c r="X584" i="1"/>
  <c r="X595" i="1"/>
  <c r="W334" i="1"/>
  <c r="W56" i="1"/>
  <c r="W11" i="1"/>
  <c r="X21" i="1"/>
  <c r="W209" i="1"/>
  <c r="X58" i="1"/>
  <c r="W342" i="1"/>
  <c r="X312" i="1"/>
  <c r="W12" i="1"/>
  <c r="W387" i="1"/>
  <c r="X558" i="1"/>
  <c r="W564" i="1"/>
  <c r="W260" i="1"/>
  <c r="X572" i="1"/>
  <c r="X293" i="1"/>
  <c r="X101" i="1"/>
  <c r="W50" i="1"/>
  <c r="X42" i="1"/>
  <c r="X117" i="1"/>
  <c r="X122" i="1"/>
  <c r="W124" i="1"/>
  <c r="W126" i="1"/>
  <c r="X135" i="1"/>
  <c r="W428" i="1"/>
  <c r="W498" i="1"/>
  <c r="X586" i="1"/>
  <c r="W599" i="1"/>
  <c r="X448" i="1"/>
  <c r="W135" i="1"/>
  <c r="W377" i="1"/>
  <c r="X23" i="1"/>
  <c r="W347" i="1"/>
  <c r="X393" i="1"/>
  <c r="X542" i="1"/>
  <c r="X49" i="1"/>
  <c r="X14" i="1"/>
  <c r="X20" i="1"/>
  <c r="X362" i="1"/>
  <c r="W451" i="1"/>
  <c r="W460" i="1"/>
  <c r="W128" i="1"/>
  <c r="W319" i="1"/>
  <c r="X67" i="1"/>
  <c r="X600" i="1"/>
  <c r="X82" i="1"/>
  <c r="W572" i="1"/>
  <c r="W575" i="1"/>
  <c r="W576" i="1"/>
  <c r="W123" i="1"/>
  <c r="X382" i="1"/>
  <c r="X431" i="1"/>
  <c r="W443" i="1"/>
  <c r="X456" i="1"/>
  <c r="W458" i="1"/>
  <c r="X467" i="1"/>
  <c r="W25" i="1"/>
  <c r="X100" i="1"/>
  <c r="X488" i="1"/>
  <c r="W519" i="1"/>
  <c r="X530" i="1"/>
  <c r="W536" i="1"/>
  <c r="W540" i="1"/>
  <c r="W546" i="1"/>
  <c r="W552" i="1"/>
  <c r="W563" i="1"/>
  <c r="W329" i="1"/>
  <c r="X489" i="1"/>
  <c r="X205" i="1"/>
  <c r="W212" i="1"/>
  <c r="W225" i="1"/>
  <c r="W92" i="1"/>
  <c r="W436" i="1"/>
  <c r="X373" i="1"/>
  <c r="C6" i="1"/>
  <c r="D6" i="1" s="1"/>
  <c r="AA605" i="3"/>
  <c r="R603" i="1"/>
  <c r="I605" i="3"/>
  <c r="B33" i="4" l="1"/>
  <c r="B34" i="4"/>
  <c r="S603" i="1"/>
  <c r="K605" i="3"/>
  <c r="B20" i="4"/>
  <c r="B26" i="4" l="1"/>
  <c r="L605" i="3"/>
  <c r="M605" i="3"/>
  <c r="C8" i="1"/>
  <c r="O605" i="3" l="1"/>
  <c r="C9" i="1"/>
  <c r="D9" i="1" s="1"/>
  <c r="M54" i="1"/>
  <c r="N605" i="3"/>
  <c r="B22" i="4"/>
  <c r="V605" i="3"/>
  <c r="B24" i="4" s="1"/>
  <c r="C7" i="1" l="1"/>
  <c r="D7" i="1" s="1"/>
  <c r="B25" i="4"/>
  <c r="X605" i="3"/>
</calcChain>
</file>

<file path=xl/sharedStrings.xml><?xml version="1.0" encoding="utf-8"?>
<sst xmlns="http://schemas.openxmlformats.org/spreadsheetml/2006/main" count="144" uniqueCount="134">
  <si>
    <t>住宅ローン 繰上返済シミュレーション</t>
  </si>
  <si>
    <t>比較項目</t>
  </si>
  <si>
    <t>繰上返済なし</t>
  </si>
  <si>
    <t>繰上返済あり</t>
  </si>
  <si>
    <t>改善額・短縮回数</t>
  </si>
  <si>
    <t>経過年</t>
  </si>
  <si>
    <t>繰上なし残高（万円）</t>
  </si>
  <si>
    <t>繰上あり残高（万円）</t>
  </si>
  <si>
    <t>利息（繰上なし）</t>
  </si>
  <si>
    <t>元金（繰上なし）</t>
  </si>
  <si>
    <t>利息（繰上あり）</t>
  </si>
  <si>
    <t>元金（繰上あり）</t>
  </si>
  <si>
    <t>通常返済額（繰上なし）</t>
  </si>
  <si>
    <t>通常返済額（繰上あり）</t>
  </si>
  <si>
    <t>共通目盛り上限（円）</t>
  </si>
  <si>
    <t>目盛り用余白（なし）</t>
  </si>
  <si>
    <t>目盛り用余白（あり）</t>
  </si>
  <si>
    <t>支払利息（円）</t>
  </si>
  <si>
    <t>返済総額・手数料込（円）</t>
  </si>
  <si>
    <t>実行繰上返済額（円）</t>
  </si>
  <si>
    <t>手数料（円）</t>
  </si>
  <si>
    <t>返済回数（月）</t>
  </si>
  <si>
    <t>完済月</t>
  </si>
  <si>
    <t>初回通常返済額（円）</t>
  </si>
  <si>
    <t>最大通常返済額（円）</t>
  </si>
  <si>
    <t>選択方式</t>
  </si>
  <si>
    <t>毎月の通常返済額を表示。繰上返済額・手数料は含みません。完済後は0円。横軸は初回返済からの経過年。</t>
  </si>
  <si>
    <t>利息を下（ピンク）、通常返済の元金を上（青）に積み上げ。合計の高さがその月の通常返済額です。</t>
  </si>
  <si>
    <t>返済額軽減型は翌月以降の高さが下がり、期間短縮型は返済額が0円になる時点が早まります。</t>
  </si>
  <si>
    <t>住宅ローンの入力設定</t>
  </si>
  <si>
    <t>黄色・青字のセルを変更。初期値は入力例です。</t>
  </si>
  <si>
    <t>No.</t>
  </si>
  <si>
    <t>繰上返済回目</t>
  </si>
  <si>
    <t>希望繰上額（円）</t>
  </si>
  <si>
    <t>借入金額（円）</t>
  </si>
  <si>
    <t>返済期間（年）</t>
  </si>
  <si>
    <t>初回返済月</t>
  </si>
  <si>
    <t>繰上返済の方式</t>
  </si>
  <si>
    <t>期間短縮型</t>
  </si>
  <si>
    <t>繰上1回の手数料（円）</t>
  </si>
  <si>
    <t>返済方法</t>
  </si>
  <si>
    <t>繰上減額の反映時期</t>
  </si>
  <si>
    <t>翌月</t>
  </si>
  <si>
    <t>適用開始年</t>
  </si>
  <si>
    <t>適用終了年</t>
  </si>
  <si>
    <t>年利</t>
  </si>
  <si>
    <t>月次返済表（円）</t>
  </si>
  <si>
    <t>回目</t>
  </si>
  <si>
    <t>返済月</t>
  </si>
  <si>
    <t>期首残高</t>
  </si>
  <si>
    <t>期首残回数</t>
  </si>
  <si>
    <t>予定月額</t>
  </si>
  <si>
    <t>通常返済</t>
  </si>
  <si>
    <t>支払利息</t>
  </si>
  <si>
    <t>通常元金</t>
  </si>
  <si>
    <t>希望繰上額</t>
  </si>
  <si>
    <t>実行繰上額</t>
  </si>
  <si>
    <t>手数料</t>
  </si>
  <si>
    <t>月末残高</t>
  </si>
  <si>
    <t>期末残回数</t>
  </si>
  <si>
    <t>支出合計</t>
  </si>
  <si>
    <t>なし期首残高</t>
  </si>
  <si>
    <t>なし予定月額</t>
  </si>
  <si>
    <t>なし通常返済</t>
  </si>
  <si>
    <t>なし支払利息</t>
  </si>
  <si>
    <t>なし元金</t>
  </si>
  <si>
    <t>なし月末残高</t>
  </si>
  <si>
    <t>元金差額</t>
  </si>
  <si>
    <t>なし元金差額</t>
  </si>
  <si>
    <t>支出差額</t>
  </si>
  <si>
    <t>発生利息</t>
  </si>
  <si>
    <t>期首未払利息</t>
  </si>
  <si>
    <t>期末未払利息</t>
  </si>
  <si>
    <t>なし発生利息</t>
  </si>
  <si>
    <t>なし期首未払利息</t>
  </si>
  <si>
    <t>なし期末未払利息</t>
  </si>
  <si>
    <t>60回見直し</t>
  </si>
  <si>
    <t>月次年利の不正入力</t>
  </si>
  <si>
    <t>使い方・計算前提・検証</t>
  </si>
  <si>
    <t>使い方</t>
  </si>
  <si>
    <t>入力設定で借入額・年数・初回返済月・方式・金利を変更します。</t>
  </si>
  <si>
    <t>繰上返済</t>
  </si>
  <si>
    <t>最大20行。回目と希望額を入力。順不同可。同月は合算します。</t>
  </si>
  <si>
    <t>初期サンプル</t>
  </si>
  <si>
    <t>3,500万円、35年、初回2026年11月、60回目に300万円。実際の契約へ変更してください。</t>
  </si>
  <si>
    <t>金利</t>
  </si>
  <si>
    <t>年利÷12の月利。月次返済表C6:C605へ月次年利を値貼り付け可。未上書き月は5年刻み金利を参照。</t>
  </si>
  <si>
    <t>金利による通常月額見直しは1・61・121回…のみ。その回の年利・残高・残回数で月額再計算。期間中は金利が動いても月額を維持。</t>
  </si>
  <si>
    <t>返済額軽減型</t>
  </si>
  <si>
    <t>通常返済後に繰上返済。月額軽減は入力設定B11で「翌月」または「次の60回見直し時」を選択。見直し回の起点は初回返済から固定。</t>
  </si>
  <si>
    <t>繰上時の金利と月額で必要残回数を推計し切り上げ。未払利息がある場合、または現在金利で償却不能の場合は短縮推計を行いません。</t>
  </si>
  <si>
    <t>期間短縮と金利変更</t>
  </si>
  <si>
    <t>短縮後も月額の定期見直しは当初から数えた61・121回…です。将来の金利変動で実際の短縮効果は変わり、最終回に残額を精算します。</t>
  </si>
  <si>
    <t>端数</t>
  </si>
  <si>
    <t>円未満は内部で保持。最終返済は元利残額に調整。銀行の円単位丸めとは差が出ます。</t>
  </si>
  <si>
    <t>実行額が正の月のみ固定手数料を1回分計上。希望額の上限は通常返済後残高。</t>
  </si>
  <si>
    <t>対象外</t>
  </si>
  <si>
    <t>125％ルール、ボーナス返済、日割利息、税控除、保証料返戻、借換費用は未計算。特定銀行の約款再現ではなく60回固定の試算。</t>
  </si>
  <si>
    <t>実行されない指定</t>
  </si>
  <si>
    <t>期間外・完済後の希望繰上額は未実行。月次表の希望額と実行額で確認できます。</t>
  </si>
  <si>
    <t>Excel</t>
  </si>
  <si>
    <t>マクロ不要。通常の編集可能な数式。自動計算を有効にして使用してください。</t>
  </si>
  <si>
    <t>計算チェック</t>
  </si>
  <si>
    <t>差額・件数（0なら正常）</t>
  </si>
  <si>
    <t>繰上あり 元金総額－借入額</t>
  </si>
  <si>
    <t>繰上なし 元金総額－借入額</t>
  </si>
  <si>
    <t>繰上あり 最終残高</t>
  </si>
  <si>
    <t>繰上なし 最終残高</t>
  </si>
  <si>
    <t>元金・残高 月次差額最大</t>
  </si>
  <si>
    <t>総支出－借入－利息－手数料</t>
  </si>
  <si>
    <t>未実行の希望繰上額（参考・円）</t>
  </si>
  <si>
    <t>繰上入力の片側空欄（件）</t>
  </si>
  <si>
    <t>未払利息と最終回</t>
  </si>
  <si>
    <t>利息が通常月額を上回る月は元金返済0円。差額は別管理で翌月へ繰越し、次回返済から優先充当。未払利息に追加利息は付けません。最終回は残元金・未払利息・当月利息を一括精算。</t>
  </si>
  <si>
    <t>グラフの利息</t>
  </si>
  <si>
    <t>積み上げの利息はその月に支払った利息。発生利息・未払利息残高は月次表Y:AD列で確認できます。繰上返済額と手数料は通常月額グラフに含みません。</t>
  </si>
  <si>
    <t>固定額の例外</t>
  </si>
  <si>
    <t>最終返済・完済時の残額調整、およびB11で翌月反映を選んだ軽減型繰上返済は固定額の例外です。金利変更だけでは60回内に通常月額を変更しません。</t>
  </si>
  <si>
    <t>月次金利の欠落・不正値（件）</t>
  </si>
  <si>
    <t>未払利息残高の最大（円・参考）</t>
  </si>
  <si>
    <t>最終未払利息（あり・円）</t>
  </si>
  <si>
    <t>最終未払利息（なし・円）</t>
  </si>
  <si>
    <t>通常月額は60回ごとに見直し（繰上減額の反映時期は入力設定が可能）</t>
    <rPh sb="30" eb="32">
      <t>カノウ</t>
    </rPh>
    <phoneticPr fontId="5"/>
  </si>
  <si>
    <t>※1.25倍（125%）ルールは適用させていません</t>
    <rPh sb="5" eb="6">
      <t>バイ</t>
    </rPh>
    <rPh sb="16" eb="18">
      <t>テキヨウ</t>
    </rPh>
    <phoneticPr fontId="5"/>
  </si>
  <si>
    <t>※改善額は「なし－あり」。総額の改善額は手数料控除後です</t>
    <phoneticPr fontId="5"/>
  </si>
  <si>
    <t>※36～50年の金利も入力可能で月次表は最大600回まで計算</t>
    <phoneticPr fontId="5"/>
  </si>
  <si>
    <t>配信開始日</t>
    <rPh sb="0" eb="2">
      <t>ハイシン</t>
    </rPh>
    <rPh sb="2" eb="4">
      <t>カイシ</t>
    </rPh>
    <rPh sb="4" eb="5">
      <t>ビ</t>
    </rPh>
    <phoneticPr fontId="5"/>
  </si>
  <si>
    <t>使用期限</t>
    <rPh sb="0" eb="4">
      <t>シヨウキゲン</t>
    </rPh>
    <phoneticPr fontId="5"/>
  </si>
  <si>
    <t>ステータス</t>
    <phoneticPr fontId="5"/>
  </si>
  <si>
    <t>※使用期間を過ぎると使用できなくなります</t>
    <rPh sb="1" eb="5">
      <t>シヨウキカン</t>
    </rPh>
    <rPh sb="6" eb="7">
      <t>ス</t>
    </rPh>
    <rPh sb="10" eb="12">
      <t>シヨウ</t>
    </rPh>
    <phoneticPr fontId="12"/>
  </si>
  <si>
    <t>Copyright© 2026 F&amp;S-Expert ,Inc. All Rights Reserved.</t>
    <phoneticPr fontId="5"/>
  </si>
  <si>
    <t>元利均等</t>
    <phoneticPr fontId="5"/>
  </si>
  <si>
    <t>◆繰り上げ返済設定</t>
    <rPh sb="1" eb="2">
      <t>ク</t>
    </rPh>
    <rPh sb="3" eb="4">
      <t>ア</t>
    </rPh>
    <rPh sb="5" eb="7">
      <t>ヘンサイ</t>
    </rPh>
    <rPh sb="7" eb="9">
      <t>セッテイ</t>
    </rPh>
    <phoneticPr fontId="5"/>
  </si>
  <si>
    <t>◆金利設定（5年ごとの金利が可能です）</t>
    <rPh sb="1" eb="5">
      <t>キンリセッテイ</t>
    </rPh>
    <rPh sb="7" eb="8">
      <t>ネン</t>
    </rPh>
    <rPh sb="11" eb="13">
      <t>キンリ</t>
    </rPh>
    <rPh sb="14" eb="16">
      <t>カノウ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</si>
</sst>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(#,##0\);&quot;–&quot;"/>
    <numFmt numFmtId="177" formatCode="yyyy/mm"/>
  </numFmts>
  <fonts count="22">
    <font>
      <sz val="11"/>
      <name val="Carlito"/>
    </font>
    <font>
      <sz val="11"/>
      <name val="Carlito"/>
    </font>
    <font>
      <b/>
      <sz val="16"/>
      <color rgb="FFFFFFFF"/>
      <name val="Meiryo UI"/>
      <family val="3"/>
      <charset val="128"/>
    </font>
    <font>
      <sz val="11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rgb="FF1556A6"/>
      <name val="Meiryo UI"/>
      <family val="3"/>
      <charset val="128"/>
    </font>
    <font>
      <b/>
      <sz val="11"/>
      <name val="Meiryo UI"/>
      <family val="3"/>
      <charset val="128"/>
    </font>
    <font>
      <sz val="10"/>
      <color rgb="FF465B68"/>
      <name val="Meiryo UI"/>
      <family val="3"/>
      <charset val="128"/>
    </font>
    <font>
      <sz val="8.5"/>
      <color theme="1"/>
      <name val="Meiryo UI"/>
      <family val="3"/>
      <charset val="128"/>
    </font>
    <font>
      <sz val="8.5"/>
      <color theme="0"/>
      <name val="Meiryo UI"/>
      <family val="3"/>
      <charset val="128"/>
    </font>
    <font>
      <sz val="6"/>
      <name val="Calibri"/>
      <family val="2"/>
      <charset val="128"/>
      <scheme val="minor"/>
    </font>
    <font>
      <sz val="8"/>
      <color theme="1"/>
      <name val="Meiryo UI"/>
      <family val="3"/>
      <charset val="128"/>
    </font>
    <font>
      <sz val="8.5"/>
      <color theme="4"/>
      <name val="Meiryo UI"/>
      <family val="3"/>
      <charset val="128"/>
    </font>
    <font>
      <sz val="6.5"/>
      <color theme="1"/>
      <name val="Meiryo UI"/>
      <family val="3"/>
      <charset val="128"/>
    </font>
    <font>
      <sz val="11"/>
      <color rgb="FF2F2FFF"/>
      <name val="Meiryo UI"/>
      <family val="3"/>
      <charset val="128"/>
    </font>
    <font>
      <sz val="10"/>
      <color rgb="FFFF4747"/>
      <name val="Meiryo UI"/>
      <family val="3"/>
      <charset val="128"/>
    </font>
    <font>
      <sz val="8.5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0"/>
      <color theme="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173D52"/>
      </patternFill>
    </fill>
    <fill>
      <patternFill patternType="solid">
        <fgColor rgb="FFFFF1C7"/>
      </patternFill>
    </fill>
    <fill>
      <patternFill patternType="solid">
        <fgColor rgb="FFE6F1F2"/>
      </patternFill>
    </fill>
    <fill>
      <patternFill patternType="solid">
        <fgColor rgb="FFFFF1C7"/>
      </patternFill>
    </fill>
    <fill>
      <patternFill patternType="solid">
        <fgColor rgb="FF173D52"/>
      </patternFill>
    </fill>
    <fill>
      <patternFill patternType="solid">
        <fgColor rgb="FF173D5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2" borderId="0" xfId="1" applyFont="1" applyFill="1" applyProtection="1">
      <protection hidden="1"/>
    </xf>
    <xf numFmtId="0" fontId="3" fillId="2" borderId="0" xfId="1" applyFont="1" applyFill="1" applyProtection="1">
      <protection hidden="1"/>
    </xf>
    <xf numFmtId="0" fontId="3" fillId="0" borderId="0" xfId="1" applyFont="1" applyProtection="1">
      <protection hidden="1"/>
    </xf>
    <xf numFmtId="0" fontId="3" fillId="0" borderId="0" xfId="0" applyFont="1" applyProtection="1"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2" borderId="3" xfId="1" applyFont="1" applyFill="1" applyBorder="1" applyAlignment="1" applyProtection="1">
      <alignment horizontal="center" vertical="center" wrapText="1"/>
      <protection hidden="1"/>
    </xf>
    <xf numFmtId="0" fontId="4" fillId="2" borderId="4" xfId="1" applyFont="1" applyFill="1" applyBorder="1" applyAlignment="1" applyProtection="1">
      <alignment horizontal="center" vertical="center" wrapText="1"/>
      <protection hidden="1"/>
    </xf>
    <xf numFmtId="0" fontId="3" fillId="0" borderId="5" xfId="1" applyFont="1" applyBorder="1" applyAlignment="1" applyProtection="1">
      <alignment horizontal="right" vertical="center"/>
      <protection hidden="1"/>
    </xf>
    <xf numFmtId="176" fontId="3" fillId="0" borderId="6" xfId="1" applyNumberFormat="1" applyFont="1" applyBorder="1" applyAlignment="1" applyProtection="1">
      <alignment horizontal="right" vertical="center"/>
      <protection hidden="1"/>
    </xf>
    <xf numFmtId="176" fontId="8" fillId="4" borderId="7" xfId="1" applyNumberFormat="1" applyFont="1" applyFill="1" applyBorder="1" applyAlignment="1" applyProtection="1">
      <alignment horizontal="right" vertical="center"/>
      <protection hidden="1"/>
    </xf>
    <xf numFmtId="2" fontId="3" fillId="0" borderId="0" xfId="1" applyNumberFormat="1" applyFont="1" applyProtection="1">
      <protection hidden="1"/>
    </xf>
    <xf numFmtId="176" fontId="3" fillId="0" borderId="7" xfId="1" applyNumberFormat="1" applyFont="1" applyBorder="1" applyAlignment="1" applyProtection="1">
      <alignment horizontal="right" vertical="center"/>
      <protection hidden="1"/>
    </xf>
    <xf numFmtId="177" fontId="3" fillId="0" borderId="6" xfId="1" applyNumberFormat="1" applyFont="1" applyBorder="1" applyAlignment="1" applyProtection="1">
      <alignment horizontal="right" vertical="center"/>
      <protection hidden="1"/>
    </xf>
    <xf numFmtId="0" fontId="3" fillId="0" borderId="6" xfId="1" applyFont="1" applyBorder="1" applyAlignment="1" applyProtection="1">
      <alignment horizontal="right" vertical="center"/>
      <protection hidden="1"/>
    </xf>
    <xf numFmtId="0" fontId="3" fillId="0" borderId="7" xfId="1" applyFont="1" applyBorder="1" applyAlignment="1" applyProtection="1">
      <alignment horizontal="right" vertical="center"/>
      <protection hidden="1"/>
    </xf>
    <xf numFmtId="0" fontId="3" fillId="0" borderId="8" xfId="1" applyFont="1" applyBorder="1" applyAlignment="1" applyProtection="1">
      <alignment horizontal="right" vertical="center"/>
      <protection hidden="1"/>
    </xf>
    <xf numFmtId="0" fontId="3" fillId="0" borderId="9" xfId="1" applyFont="1" applyBorder="1" applyAlignment="1" applyProtection="1">
      <alignment horizontal="right" vertical="center"/>
      <protection hidden="1"/>
    </xf>
    <xf numFmtId="0" fontId="3" fillId="0" borderId="10" xfId="1" applyFont="1" applyBorder="1" applyAlignment="1" applyProtection="1">
      <alignment horizontal="right" vertical="center"/>
      <protection hidden="1"/>
    </xf>
    <xf numFmtId="0" fontId="9" fillId="0" borderId="0" xfId="1" applyFont="1" applyAlignment="1" applyProtection="1">
      <alignment wrapText="1"/>
      <protection hidden="1"/>
    </xf>
    <xf numFmtId="0" fontId="3" fillId="0" borderId="0" xfId="1" applyFont="1" applyAlignment="1" applyProtection="1">
      <alignment wrapText="1"/>
      <protection hidden="1"/>
    </xf>
    <xf numFmtId="0" fontId="10" fillId="8" borderId="0" xfId="0" applyFont="1" applyFill="1" applyAlignment="1" applyProtection="1">
      <alignment horizontal="right" vertical="center" shrinkToFit="1"/>
      <protection hidden="1"/>
    </xf>
    <xf numFmtId="0" fontId="11" fillId="8" borderId="0" xfId="0" applyFont="1" applyFill="1" applyAlignment="1" applyProtection="1">
      <alignment vertical="center" shrinkToFit="1"/>
      <protection hidden="1"/>
    </xf>
    <xf numFmtId="0" fontId="13" fillId="8" borderId="0" xfId="0" applyFont="1" applyFill="1" applyAlignment="1" applyProtection="1">
      <alignment vertical="center"/>
      <protection hidden="1"/>
    </xf>
    <xf numFmtId="0" fontId="14" fillId="8" borderId="0" xfId="0" applyFont="1" applyFill="1" applyAlignment="1" applyProtection="1">
      <alignment horizontal="right" vertical="center" shrinkToFit="1"/>
      <protection hidden="1"/>
    </xf>
    <xf numFmtId="0" fontId="14" fillId="8" borderId="0" xfId="0" applyFont="1" applyFill="1" applyAlignment="1" applyProtection="1">
      <alignment vertical="top" wrapText="1" shrinkToFit="1"/>
      <protection hidden="1"/>
    </xf>
    <xf numFmtId="0" fontId="10" fillId="8" borderId="0" xfId="0" applyFont="1" applyFill="1" applyAlignment="1" applyProtection="1">
      <alignment vertical="center" shrinkToFit="1"/>
      <protection hidden="1"/>
    </xf>
    <xf numFmtId="0" fontId="15" fillId="8" borderId="0" xfId="0" applyFont="1" applyFill="1" applyAlignment="1" applyProtection="1">
      <alignment horizontal="right" vertical="center" wrapText="1" shrinkToFit="1"/>
      <protection hidden="1"/>
    </xf>
    <xf numFmtId="0" fontId="3" fillId="0" borderId="0" xfId="1" applyFont="1" applyAlignment="1" applyProtection="1">
      <alignment horizontal="left" wrapText="1"/>
      <protection hidden="1"/>
    </xf>
    <xf numFmtId="0" fontId="3" fillId="0" borderId="14" xfId="0" applyFont="1" applyBorder="1" applyAlignment="1" applyProtection="1">
      <alignment horizontal="center" vertical="center" shrinkToFit="1"/>
      <protection hidden="1"/>
    </xf>
    <xf numFmtId="0" fontId="3" fillId="0" borderId="15" xfId="0" applyFont="1" applyBorder="1" applyAlignment="1" applyProtection="1">
      <alignment horizontal="center" vertical="center" shrinkToFit="1"/>
      <protection hidden="1"/>
    </xf>
    <xf numFmtId="0" fontId="3" fillId="0" borderId="16" xfId="0" applyFont="1" applyBorder="1" applyAlignment="1" applyProtection="1">
      <alignment horizontal="center" vertical="center" shrinkToFit="1"/>
      <protection hidden="1"/>
    </xf>
    <xf numFmtId="14" fontId="3" fillId="0" borderId="17" xfId="0" applyNumberFormat="1" applyFont="1" applyBorder="1" applyAlignment="1" applyProtection="1">
      <alignment horizontal="center" vertical="center" shrinkToFit="1"/>
      <protection hidden="1"/>
    </xf>
    <xf numFmtId="14" fontId="3" fillId="0" borderId="18" xfId="0" applyNumberFormat="1" applyFont="1" applyBorder="1" applyAlignment="1" applyProtection="1">
      <alignment horizontal="center" vertical="center" shrinkToFit="1"/>
      <protection hidden="1"/>
    </xf>
    <xf numFmtId="0" fontId="16" fillId="0" borderId="19" xfId="0" applyFont="1" applyBorder="1" applyAlignment="1" applyProtection="1">
      <alignment horizontal="center" vertical="center" shrinkToFit="1"/>
      <protection hidden="1"/>
    </xf>
    <xf numFmtId="0" fontId="17" fillId="8" borderId="0" xfId="0" applyFont="1" applyFill="1" applyAlignment="1" applyProtection="1">
      <alignment vertical="center"/>
      <protection hidden="1"/>
    </xf>
    <xf numFmtId="0" fontId="18" fillId="8" borderId="0" xfId="0" applyFont="1" applyFill="1" applyAlignment="1" applyProtection="1">
      <alignment horizontal="center" vertical="top" wrapText="1" shrinkToFit="1"/>
      <protection hidden="1"/>
    </xf>
    <xf numFmtId="0" fontId="19" fillId="8" borderId="0" xfId="1" applyFont="1" applyFill="1" applyProtection="1">
      <protection hidden="1"/>
    </xf>
    <xf numFmtId="0" fontId="19" fillId="8" borderId="0" xfId="0" applyFont="1" applyFill="1" applyAlignment="1" applyProtection="1">
      <alignment horizontal="center" vertical="center"/>
      <protection hidden="1"/>
    </xf>
    <xf numFmtId="0" fontId="11" fillId="8" borderId="0" xfId="0" applyFont="1" applyFill="1" applyAlignment="1" applyProtection="1">
      <alignment vertical="center" wrapText="1" shrinkToFit="1"/>
      <protection hidden="1"/>
    </xf>
    <xf numFmtId="0" fontId="19" fillId="8" borderId="0" xfId="0" applyFont="1" applyFill="1" applyProtection="1">
      <protection hidden="1"/>
    </xf>
    <xf numFmtId="0" fontId="19" fillId="8" borderId="0" xfId="1" applyFont="1" applyFill="1" applyAlignment="1" applyProtection="1">
      <alignment wrapText="1"/>
      <protection hidden="1"/>
    </xf>
    <xf numFmtId="0" fontId="20" fillId="8" borderId="0" xfId="1" applyFont="1" applyFill="1" applyAlignment="1" applyProtection="1">
      <alignment wrapText="1"/>
      <protection hidden="1"/>
    </xf>
    <xf numFmtId="2" fontId="19" fillId="8" borderId="0" xfId="1" applyNumberFormat="1" applyFont="1" applyFill="1" applyProtection="1">
      <protection hidden="1"/>
    </xf>
    <xf numFmtId="3" fontId="19" fillId="8" borderId="0" xfId="1" applyNumberFormat="1" applyFont="1" applyFill="1" applyProtection="1">
      <protection hidden="1"/>
    </xf>
    <xf numFmtId="0" fontId="21" fillId="8" borderId="0" xfId="1" applyFont="1" applyFill="1" applyAlignment="1" applyProtection="1">
      <alignment wrapText="1"/>
      <protection hidden="1"/>
    </xf>
    <xf numFmtId="0" fontId="3" fillId="0" borderId="5" xfId="1" applyFont="1" applyBorder="1" applyProtection="1">
      <protection hidden="1"/>
    </xf>
    <xf numFmtId="0" fontId="3" fillId="0" borderId="6" xfId="1" applyFont="1" applyBorder="1" applyProtection="1">
      <protection hidden="1"/>
    </xf>
    <xf numFmtId="0" fontId="3" fillId="0" borderId="8" xfId="1" applyFont="1" applyBorder="1" applyProtection="1">
      <protection hidden="1"/>
    </xf>
    <xf numFmtId="0" fontId="3" fillId="0" borderId="9" xfId="1" applyFont="1" applyBorder="1" applyProtection="1">
      <protection hidden="1"/>
    </xf>
    <xf numFmtId="0" fontId="7" fillId="3" borderId="6" xfId="1" applyFont="1" applyFill="1" applyBorder="1" applyProtection="1">
      <protection locked="0"/>
    </xf>
    <xf numFmtId="176" fontId="7" fillId="3" borderId="7" xfId="1" applyNumberFormat="1" applyFont="1" applyFill="1" applyBorder="1" applyProtection="1">
      <protection locked="0"/>
    </xf>
    <xf numFmtId="0" fontId="7" fillId="3" borderId="9" xfId="1" applyFont="1" applyFill="1" applyBorder="1" applyProtection="1">
      <protection locked="0"/>
    </xf>
    <xf numFmtId="176" fontId="7" fillId="3" borderId="10" xfId="1" applyNumberFormat="1" applyFont="1" applyFill="1" applyBorder="1" applyProtection="1">
      <protection locked="0"/>
    </xf>
    <xf numFmtId="10" fontId="7" fillId="3" borderId="7" xfId="1" applyNumberFormat="1" applyFont="1" applyFill="1" applyBorder="1" applyProtection="1">
      <protection locked="0"/>
    </xf>
    <xf numFmtId="10" fontId="7" fillId="3" borderId="10" xfId="1" applyNumberFormat="1" applyFont="1" applyFill="1" applyBorder="1" applyProtection="1">
      <protection locked="0"/>
    </xf>
    <xf numFmtId="0" fontId="4" fillId="2" borderId="2" xfId="1" applyFont="1" applyFill="1" applyBorder="1" applyAlignment="1" applyProtection="1">
      <alignment horizontal="center" wrapText="1"/>
      <protection hidden="1"/>
    </xf>
    <xf numFmtId="0" fontId="4" fillId="2" borderId="3" xfId="1" applyFont="1" applyFill="1" applyBorder="1" applyAlignment="1" applyProtection="1">
      <alignment horizontal="center" wrapText="1"/>
      <protection hidden="1"/>
    </xf>
    <xf numFmtId="0" fontId="3" fillId="0" borderId="0" xfId="1" applyFont="1" applyAlignment="1" applyProtection="1">
      <alignment horizontal="right" vertical="center"/>
      <protection hidden="1"/>
    </xf>
    <xf numFmtId="176" fontId="7" fillId="3" borderId="11" xfId="1" applyNumberFormat="1" applyFont="1" applyFill="1" applyBorder="1" applyAlignment="1" applyProtection="1">
      <alignment vertical="center"/>
      <protection locked="0"/>
    </xf>
    <xf numFmtId="176" fontId="7" fillId="3" borderId="12" xfId="1" applyNumberFormat="1" applyFont="1" applyFill="1" applyBorder="1" applyAlignment="1" applyProtection="1">
      <alignment vertical="center"/>
      <protection locked="0"/>
    </xf>
    <xf numFmtId="177" fontId="7" fillId="3" borderId="12" xfId="1" applyNumberFormat="1" applyFont="1" applyFill="1" applyBorder="1" applyAlignment="1" applyProtection="1">
      <alignment vertical="center"/>
      <protection locked="0"/>
    </xf>
    <xf numFmtId="0" fontId="7" fillId="3" borderId="12" xfId="1" applyFont="1" applyFill="1" applyBorder="1" applyAlignment="1" applyProtection="1">
      <alignment horizontal="right" vertical="center"/>
      <protection locked="0"/>
    </xf>
    <xf numFmtId="176" fontId="7" fillId="3" borderId="13" xfId="1" applyNumberFormat="1" applyFont="1" applyFill="1" applyBorder="1" applyAlignment="1" applyProtection="1">
      <alignment vertical="center"/>
      <protection locked="0"/>
    </xf>
    <xf numFmtId="0" fontId="7" fillId="5" borderId="1" xfId="1" applyFont="1" applyFill="1" applyBorder="1" applyAlignment="1" applyProtection="1">
      <alignment horizontal="right" vertical="center" wrapText="1"/>
      <protection locked="0"/>
    </xf>
    <xf numFmtId="0" fontId="4" fillId="6" borderId="3" xfId="1" applyFont="1" applyFill="1" applyBorder="1" applyAlignment="1" applyProtection="1">
      <alignment horizontal="center" wrapText="1"/>
      <protection hidden="1"/>
    </xf>
    <xf numFmtId="0" fontId="4" fillId="7" borderId="4" xfId="1" applyFont="1" applyFill="1" applyBorder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6" fillId="0" borderId="5" xfId="1" applyFont="1" applyBorder="1" applyProtection="1">
      <protection hidden="1"/>
    </xf>
    <xf numFmtId="177" fontId="6" fillId="0" borderId="6" xfId="1" applyNumberFormat="1" applyFont="1" applyBorder="1" applyProtection="1">
      <protection hidden="1"/>
    </xf>
    <xf numFmtId="176" fontId="6" fillId="0" borderId="6" xfId="1" applyNumberFormat="1" applyFont="1" applyBorder="1" applyProtection="1">
      <protection hidden="1"/>
    </xf>
    <xf numFmtId="3" fontId="3" fillId="0" borderId="6" xfId="1" applyNumberFormat="1" applyFont="1" applyBorder="1" applyProtection="1">
      <protection hidden="1"/>
    </xf>
    <xf numFmtId="0" fontId="3" fillId="0" borderId="6" xfId="0" applyFont="1" applyBorder="1" applyProtection="1">
      <protection hidden="1"/>
    </xf>
    <xf numFmtId="0" fontId="3" fillId="0" borderId="7" xfId="0" applyFont="1" applyBorder="1" applyProtection="1">
      <protection hidden="1"/>
    </xf>
    <xf numFmtId="0" fontId="6" fillId="0" borderId="8" xfId="1" applyFont="1" applyBorder="1" applyProtection="1">
      <protection hidden="1"/>
    </xf>
    <xf numFmtId="177" fontId="6" fillId="0" borderId="9" xfId="1" applyNumberFormat="1" applyFont="1" applyBorder="1" applyProtection="1">
      <protection hidden="1"/>
    </xf>
    <xf numFmtId="176" fontId="6" fillId="0" borderId="9" xfId="1" applyNumberFormat="1" applyFont="1" applyBorder="1" applyProtection="1">
      <protection hidden="1"/>
    </xf>
    <xf numFmtId="3" fontId="3" fillId="0" borderId="9" xfId="1" applyNumberFormat="1" applyFont="1" applyBorder="1" applyProtection="1">
      <protection hidden="1"/>
    </xf>
    <xf numFmtId="0" fontId="3" fillId="0" borderId="9" xfId="0" applyFont="1" applyBorder="1" applyProtection="1">
      <protection hidden="1"/>
    </xf>
    <xf numFmtId="0" fontId="3" fillId="0" borderId="10" xfId="0" applyFont="1" applyBorder="1" applyProtection="1">
      <protection hidden="1"/>
    </xf>
    <xf numFmtId="10" fontId="6" fillId="8" borderId="6" xfId="1" applyNumberFormat="1" applyFont="1" applyFill="1" applyBorder="1" applyProtection="1">
      <protection hidden="1"/>
    </xf>
    <xf numFmtId="10" fontId="6" fillId="8" borderId="9" xfId="1" applyNumberFormat="1" applyFont="1" applyFill="1" applyBorder="1" applyProtection="1">
      <protection hidden="1"/>
    </xf>
    <xf numFmtId="0" fontId="4" fillId="2" borderId="0" xfId="1" applyFont="1" applyFill="1" applyAlignment="1" applyProtection="1">
      <alignment wrapText="1"/>
      <protection hidden="1"/>
    </xf>
    <xf numFmtId="0" fontId="21" fillId="2" borderId="0" xfId="1" applyFont="1" applyFill="1" applyProtection="1">
      <protection hidden="1"/>
    </xf>
  </cellXfs>
  <cellStyles count="2">
    <cellStyle name="Normal" xfId="1" xr:uid="{00000000-0005-0000-0000-000000000000}"/>
    <cellStyle name="標準" xfId="0" builtinId="0"/>
  </cellStyles>
  <dxfs count="5">
    <dxf>
      <font>
        <b/>
        <color rgb="FFA61717"/>
      </font>
      <fill>
        <patternFill>
          <bgColor rgb="FFFCE2E2"/>
        </patternFill>
      </fill>
    </dxf>
    <dxf>
      <fill>
        <patternFill>
          <bgColor rgb="FFFCE2E2"/>
        </patternFill>
      </fill>
    </dxf>
    <dxf>
      <font>
        <b/>
        <color rgb="FFA61717"/>
      </font>
      <fill>
        <patternFill>
          <bgColor rgb="FFFCE2E2"/>
        </patternFill>
      </fill>
    </dxf>
    <dxf>
      <font>
        <b/>
      </font>
      <fill>
        <patternFill>
          <bgColor rgb="FFFFF1C7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/>
          <a:lstStyle/>
          <a:p>
            <a:r>
              <a:rPr lang="ja-JP">
                <a:latin typeface="Meiryo UI" panose="020B0604030504040204" pitchFamily="50" charset="-128"/>
                <a:ea typeface="Meiryo UI" panose="020B0604030504040204" pitchFamily="50" charset="-128"/>
              </a:rPr>
              <a:t>年末残高の比較（万円）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繰上なし残高（万円）</c:v>
          </c:tx>
          <c:spPr>
            <a:ln w="19050">
              <a:solidFill>
                <a:srgbClr val="778697"/>
              </a:solidFill>
              <a:prstDash val="dash"/>
            </a:ln>
          </c:spPr>
          <c:marker>
            <c:symbol val="none"/>
          </c:marker>
          <c:cat>
            <c:numRef>
              <c:f>結果サマリー!$K$6:$K$54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  <c:pt idx="39">
                  <c:v>41</c:v>
                </c:pt>
                <c:pt idx="40">
                  <c:v>42</c:v>
                </c:pt>
                <c:pt idx="41">
                  <c:v>43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47</c:v>
                </c:pt>
                <c:pt idx="46">
                  <c:v>48</c:v>
                </c:pt>
                <c:pt idx="47">
                  <c:v>49</c:v>
                </c:pt>
                <c:pt idx="48">
                  <c:v>50</c:v>
                </c:pt>
              </c:numCache>
            </c:numRef>
          </c:cat>
          <c:val>
            <c:numRef>
              <c:f>結果サマリー!$L$6:$L$54</c:f>
              <c:numCache>
                <c:formatCode>General</c:formatCode>
                <c:ptCount val="49"/>
                <c:pt idx="0">
                  <c:v>3500</c:v>
                </c:pt>
                <c:pt idx="1">
                  <c:v>3417.7068905071528</c:v>
                </c:pt>
                <c:pt idx="2">
                  <c:v>3334.4956659454588</c:v>
                </c:pt>
                <c:pt idx="3">
                  <c:v>3250.3560832303538</c:v>
                </c:pt>
                <c:pt idx="4">
                  <c:v>3165.2777849988061</c:v>
                </c:pt>
                <c:pt idx="5">
                  <c:v>3079.2502983343556</c:v>
                </c:pt>
                <c:pt idx="6">
                  <c:v>3009.4340476702282</c:v>
                </c:pt>
                <c:pt idx="7">
                  <c:v>2937.8522517544461</c:v>
                </c:pt>
                <c:pt idx="8">
                  <c:v>2864.4602626718615</c:v>
                </c:pt>
                <c:pt idx="9">
                  <c:v>2789.2123034304436</c:v>
                </c:pt>
                <c:pt idx="10">
                  <c:v>2712.0614394086701</c:v>
                </c:pt>
                <c:pt idx="11">
                  <c:v>2638.0807246121162</c:v>
                </c:pt>
                <c:pt idx="12">
                  <c:v>2561.8498155818793</c:v>
                </c:pt>
                <c:pt idx="13">
                  <c:v>2483.3002705071017</c:v>
                </c:pt>
                <c:pt idx="14">
                  <c:v>2402.3615658537537</c:v>
                </c:pt>
                <c:pt idx="15">
                  <c:v>2318.9610330470346</c:v>
                </c:pt>
                <c:pt idx="16">
                  <c:v>2241.6835631213694</c:v>
                </c:pt>
                <c:pt idx="17">
                  <c:v>2161.2576898379957</c:v>
                </c:pt>
                <c:pt idx="18">
                  <c:v>2077.5551423863858</c:v>
                </c:pt>
                <c:pt idx="19">
                  <c:v>1990.4424240052801</c:v>
                </c:pt>
                <c:pt idx="20">
                  <c:v>1899.7805990693907</c:v>
                </c:pt>
                <c:pt idx="21">
                  <c:v>1812.5075113337061</c:v>
                </c:pt>
                <c:pt idx="22">
                  <c:v>1720.769366795465</c:v>
                </c:pt>
                <c:pt idx="23">
                  <c:v>1624.3377246744981</c:v>
                </c:pt>
                <c:pt idx="24">
                  <c:v>1522.9724567267708</c:v>
                </c:pt>
                <c:pt idx="25">
                  <c:v>1416.4211492915474</c:v>
                </c:pt>
                <c:pt idx="26">
                  <c:v>1304.4184747461577</c:v>
                </c:pt>
                <c:pt idx="27">
                  <c:v>1186.6855308031954</c:v>
                </c:pt>
                <c:pt idx="28">
                  <c:v>1062.9291460049076</c:v>
                </c:pt>
                <c:pt idx="29">
                  <c:v>932.84114968535732</c:v>
                </c:pt>
                <c:pt idx="30">
                  <c:v>796.09760458246717</c:v>
                </c:pt>
                <c:pt idx="31">
                  <c:v>652.35800018903581</c:v>
                </c:pt>
                <c:pt idx="32">
                  <c:v>501.26440483406719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53-454D-8C57-516DAD89831A}"/>
            </c:ext>
          </c:extLst>
        </c:ser>
        <c:ser>
          <c:idx val="1"/>
          <c:order val="1"/>
          <c:tx>
            <c:v>繰上あり残高（万円）</c:v>
          </c:tx>
          <c:spPr>
            <a:ln w="19050">
              <a:solidFill>
                <a:srgbClr val="168B8B"/>
              </a:solidFill>
              <a:prstDash val="solid"/>
            </a:ln>
          </c:spPr>
          <c:marker>
            <c:symbol val="none"/>
          </c:marker>
          <c:cat>
            <c:numRef>
              <c:f>結果サマリー!$K$6:$K$54</c:f>
              <c:numCache>
                <c:formatCode>General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  <c:pt idx="39">
                  <c:v>41</c:v>
                </c:pt>
                <c:pt idx="40">
                  <c:v>42</c:v>
                </c:pt>
                <c:pt idx="41">
                  <c:v>43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47</c:v>
                </c:pt>
                <c:pt idx="46">
                  <c:v>48</c:v>
                </c:pt>
                <c:pt idx="47">
                  <c:v>49</c:v>
                </c:pt>
                <c:pt idx="48">
                  <c:v>50</c:v>
                </c:pt>
              </c:numCache>
            </c:numRef>
          </c:cat>
          <c:val>
            <c:numRef>
              <c:f>結果サマリー!$M$6:$M$54</c:f>
              <c:numCache>
                <c:formatCode>General</c:formatCode>
                <c:ptCount val="49"/>
                <c:pt idx="0">
                  <c:v>3500</c:v>
                </c:pt>
                <c:pt idx="1">
                  <c:v>3417.7068905071528</c:v>
                </c:pt>
                <c:pt idx="2">
                  <c:v>3334.4956659454588</c:v>
                </c:pt>
                <c:pt idx="3">
                  <c:v>3250.3560832303538</c:v>
                </c:pt>
                <c:pt idx="4">
                  <c:v>3165.2777849988061</c:v>
                </c:pt>
                <c:pt idx="5">
                  <c:v>2779.2502983343556</c:v>
                </c:pt>
                <c:pt idx="6">
                  <c:v>2704.985552659205</c:v>
                </c:pt>
                <c:pt idx="7">
                  <c:v>2628.842766157672</c:v>
                </c:pt>
                <c:pt idx="8">
                  <c:v>2550.7744460751073</c:v>
                </c:pt>
                <c:pt idx="9">
                  <c:v>2470.7318986383775</c:v>
                </c:pt>
                <c:pt idx="10">
                  <c:v>2388.6651986839611</c:v>
                </c:pt>
                <c:pt idx="11">
                  <c:v>2309.1744790025027</c:v>
                </c:pt>
                <c:pt idx="12">
                  <c:v>2227.265973016189</c:v>
                </c:pt>
                <c:pt idx="13">
                  <c:v>2142.8661414409453</c:v>
                </c:pt>
                <c:pt idx="14">
                  <c:v>2055.8992082250024</c:v>
                </c:pt>
                <c:pt idx="15">
                  <c:v>1966.2870925154637</c:v>
                </c:pt>
                <c:pt idx="16">
                  <c:v>1881.5666896710447</c:v>
                </c:pt>
                <c:pt idx="17">
                  <c:v>1793.3946468979575</c:v>
                </c:pt>
                <c:pt idx="18">
                  <c:v>1701.6303390599053</c:v>
                </c:pt>
                <c:pt idx="19">
                  <c:v>1606.1274117355645</c:v>
                </c:pt>
                <c:pt idx="20">
                  <c:v>1506.7335477986735</c:v>
                </c:pt>
                <c:pt idx="21">
                  <c:v>1409.1337958498339</c:v>
                </c:pt>
                <c:pt idx="22">
                  <c:v>1306.5406553585055</c:v>
                </c:pt>
                <c:pt idx="23">
                  <c:v>1198.6986550899931</c:v>
                </c:pt>
                <c:pt idx="24">
                  <c:v>1085.3392534163813</c:v>
                </c:pt>
                <c:pt idx="25">
                  <c:v>966.18016961040985</c:v>
                </c:pt>
                <c:pt idx="26">
                  <c:v>840.924680927076</c:v>
                </c:pt>
                <c:pt idx="27">
                  <c:v>709.26088372259903</c:v>
                </c:pt>
                <c:pt idx="28">
                  <c:v>570.86091677082516</c:v>
                </c:pt>
                <c:pt idx="29">
                  <c:v>425.38014484302948</c:v>
                </c:pt>
                <c:pt idx="30">
                  <c:v>272.45630051810821</c:v>
                </c:pt>
                <c:pt idx="31">
                  <c:v>111.70858208615125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53-454D-8C57-516DAD898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/>
          <a:lstStyle/>
          <a:p>
            <a:r>
              <a:rPr lang="ja-JP" sz="1800">
                <a:latin typeface="Meiryo UI" panose="020B0604030504040204" pitchFamily="50" charset="-128"/>
                <a:ea typeface="Meiryo UI" panose="020B0604030504040204" pitchFamily="50" charset="-128"/>
              </a:rPr>
              <a:t>毎月の通常返済額の比較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通常返済額（繰上なし）</c:v>
          </c:tx>
          <c:spPr>
            <a:ln w="19050">
              <a:solidFill>
                <a:srgbClr val="778697"/>
              </a:solidFill>
              <a:prstDash val="dash"/>
            </a:ln>
          </c:spPr>
          <c:marker>
            <c:symbol val="none"/>
          </c:marker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結果サマリー!$T$6:$T$603</c:f>
              <c:numCache>
                <c:formatCode>#,##0</c:formatCode>
                <c:ptCount val="598"/>
                <c:pt idx="0">
                  <c:v>100604.4016546396</c:v>
                </c:pt>
                <c:pt idx="1">
                  <c:v>100604.4016546396</c:v>
                </c:pt>
                <c:pt idx="2">
                  <c:v>100604.4016546396</c:v>
                </c:pt>
                <c:pt idx="3">
                  <c:v>100604.4016546396</c:v>
                </c:pt>
                <c:pt idx="4">
                  <c:v>100604.4016546396</c:v>
                </c:pt>
                <c:pt idx="5">
                  <c:v>100604.4016546396</c:v>
                </c:pt>
                <c:pt idx="6">
                  <c:v>100604.4016546396</c:v>
                </c:pt>
                <c:pt idx="7">
                  <c:v>100604.4016546396</c:v>
                </c:pt>
                <c:pt idx="8">
                  <c:v>100604.4016546396</c:v>
                </c:pt>
                <c:pt idx="9">
                  <c:v>100604.4016546396</c:v>
                </c:pt>
                <c:pt idx="10">
                  <c:v>100604.4016546396</c:v>
                </c:pt>
                <c:pt idx="11">
                  <c:v>100604.4016546396</c:v>
                </c:pt>
                <c:pt idx="12">
                  <c:v>100604.4016546396</c:v>
                </c:pt>
                <c:pt idx="13">
                  <c:v>100604.4016546396</c:v>
                </c:pt>
                <c:pt idx="14">
                  <c:v>100604.4016546396</c:v>
                </c:pt>
                <c:pt idx="15">
                  <c:v>100604.4016546396</c:v>
                </c:pt>
                <c:pt idx="16">
                  <c:v>100604.4016546396</c:v>
                </c:pt>
                <c:pt idx="17">
                  <c:v>100604.4016546396</c:v>
                </c:pt>
                <c:pt idx="18">
                  <c:v>100604.4016546396</c:v>
                </c:pt>
                <c:pt idx="19">
                  <c:v>100604.4016546396</c:v>
                </c:pt>
                <c:pt idx="20">
                  <c:v>100604.4016546396</c:v>
                </c:pt>
                <c:pt idx="21">
                  <c:v>100604.4016546396</c:v>
                </c:pt>
                <c:pt idx="22">
                  <c:v>100604.4016546396</c:v>
                </c:pt>
                <c:pt idx="23">
                  <c:v>100604.4016546396</c:v>
                </c:pt>
                <c:pt idx="24">
                  <c:v>100604.4016546396</c:v>
                </c:pt>
                <c:pt idx="25">
                  <c:v>100604.4016546396</c:v>
                </c:pt>
                <c:pt idx="26">
                  <c:v>100604.4016546396</c:v>
                </c:pt>
                <c:pt idx="27">
                  <c:v>100604.4016546396</c:v>
                </c:pt>
                <c:pt idx="28">
                  <c:v>100604.4016546396</c:v>
                </c:pt>
                <c:pt idx="29">
                  <c:v>100604.4016546396</c:v>
                </c:pt>
                <c:pt idx="30">
                  <c:v>100604.4016546396</c:v>
                </c:pt>
                <c:pt idx="31">
                  <c:v>100604.4016546396</c:v>
                </c:pt>
                <c:pt idx="32">
                  <c:v>100604.4016546396</c:v>
                </c:pt>
                <c:pt idx="33">
                  <c:v>100604.4016546396</c:v>
                </c:pt>
                <c:pt idx="34">
                  <c:v>100604.4016546396</c:v>
                </c:pt>
                <c:pt idx="35">
                  <c:v>100604.4016546396</c:v>
                </c:pt>
                <c:pt idx="36">
                  <c:v>100604.4016546396</c:v>
                </c:pt>
                <c:pt idx="37">
                  <c:v>100604.4016546396</c:v>
                </c:pt>
                <c:pt idx="38">
                  <c:v>100604.4016546396</c:v>
                </c:pt>
                <c:pt idx="39">
                  <c:v>100604.4016546396</c:v>
                </c:pt>
                <c:pt idx="40">
                  <c:v>100604.4016546396</c:v>
                </c:pt>
                <c:pt idx="41">
                  <c:v>100604.4016546396</c:v>
                </c:pt>
                <c:pt idx="42">
                  <c:v>100604.4016546396</c:v>
                </c:pt>
                <c:pt idx="43">
                  <c:v>100604.4016546396</c:v>
                </c:pt>
                <c:pt idx="44">
                  <c:v>100604.4016546396</c:v>
                </c:pt>
                <c:pt idx="45">
                  <c:v>100604.4016546396</c:v>
                </c:pt>
                <c:pt idx="46">
                  <c:v>100604.4016546396</c:v>
                </c:pt>
                <c:pt idx="47">
                  <c:v>100604.4016546396</c:v>
                </c:pt>
                <c:pt idx="48">
                  <c:v>100604.4016546396</c:v>
                </c:pt>
                <c:pt idx="49">
                  <c:v>100604.4016546396</c:v>
                </c:pt>
                <c:pt idx="50">
                  <c:v>100604.4016546396</c:v>
                </c:pt>
                <c:pt idx="51">
                  <c:v>100604.4016546396</c:v>
                </c:pt>
                <c:pt idx="52">
                  <c:v>100604.4016546396</c:v>
                </c:pt>
                <c:pt idx="53">
                  <c:v>100604.4016546396</c:v>
                </c:pt>
                <c:pt idx="54">
                  <c:v>100604.4016546396</c:v>
                </c:pt>
                <c:pt idx="55">
                  <c:v>100604.4016546396</c:v>
                </c:pt>
                <c:pt idx="56">
                  <c:v>100604.4016546396</c:v>
                </c:pt>
                <c:pt idx="57">
                  <c:v>100604.4016546396</c:v>
                </c:pt>
                <c:pt idx="58">
                  <c:v>121667.61455625904</c:v>
                </c:pt>
                <c:pt idx="59">
                  <c:v>121667.61455625904</c:v>
                </c:pt>
                <c:pt idx="60">
                  <c:v>121667.61455625904</c:v>
                </c:pt>
                <c:pt idx="61">
                  <c:v>121667.61455625904</c:v>
                </c:pt>
                <c:pt idx="62">
                  <c:v>121667.61455625904</c:v>
                </c:pt>
                <c:pt idx="63">
                  <c:v>121667.61455625904</c:v>
                </c:pt>
                <c:pt idx="64">
                  <c:v>121667.61455625904</c:v>
                </c:pt>
                <c:pt idx="65">
                  <c:v>121667.61455625904</c:v>
                </c:pt>
                <c:pt idx="66">
                  <c:v>121667.61455625904</c:v>
                </c:pt>
                <c:pt idx="67">
                  <c:v>121667.61455625904</c:v>
                </c:pt>
                <c:pt idx="68">
                  <c:v>121667.61455625904</c:v>
                </c:pt>
                <c:pt idx="69">
                  <c:v>121667.61455625904</c:v>
                </c:pt>
                <c:pt idx="70">
                  <c:v>121667.61455625904</c:v>
                </c:pt>
                <c:pt idx="71">
                  <c:v>121667.61455625904</c:v>
                </c:pt>
                <c:pt idx="72">
                  <c:v>121667.61455625904</c:v>
                </c:pt>
                <c:pt idx="73">
                  <c:v>121667.61455625904</c:v>
                </c:pt>
                <c:pt idx="74">
                  <c:v>121667.61455625904</c:v>
                </c:pt>
                <c:pt idx="75">
                  <c:v>121667.61455625904</c:v>
                </c:pt>
                <c:pt idx="76">
                  <c:v>121667.61455625904</c:v>
                </c:pt>
                <c:pt idx="77">
                  <c:v>121667.61455625904</c:v>
                </c:pt>
                <c:pt idx="78">
                  <c:v>121667.61455625904</c:v>
                </c:pt>
                <c:pt idx="79">
                  <c:v>121667.61455625904</c:v>
                </c:pt>
                <c:pt idx="80">
                  <c:v>121667.61455625904</c:v>
                </c:pt>
                <c:pt idx="81">
                  <c:v>121667.61455625904</c:v>
                </c:pt>
                <c:pt idx="82">
                  <c:v>121667.61455625904</c:v>
                </c:pt>
                <c:pt idx="83">
                  <c:v>121667.61455625904</c:v>
                </c:pt>
                <c:pt idx="84">
                  <c:v>121667.61455625904</c:v>
                </c:pt>
                <c:pt idx="85">
                  <c:v>121667.61455625904</c:v>
                </c:pt>
                <c:pt idx="86">
                  <c:v>121667.61455625904</c:v>
                </c:pt>
                <c:pt idx="87">
                  <c:v>121667.61455625904</c:v>
                </c:pt>
                <c:pt idx="88">
                  <c:v>121667.61455625904</c:v>
                </c:pt>
                <c:pt idx="89">
                  <c:v>121667.61455625904</c:v>
                </c:pt>
                <c:pt idx="90">
                  <c:v>121667.61455625904</c:v>
                </c:pt>
                <c:pt idx="91">
                  <c:v>121667.61455625904</c:v>
                </c:pt>
                <c:pt idx="92">
                  <c:v>121667.61455625904</c:v>
                </c:pt>
                <c:pt idx="93">
                  <c:v>121667.61455625904</c:v>
                </c:pt>
                <c:pt idx="94">
                  <c:v>121667.61455625904</c:v>
                </c:pt>
                <c:pt idx="95">
                  <c:v>121667.61455625904</c:v>
                </c:pt>
                <c:pt idx="96">
                  <c:v>121667.61455625904</c:v>
                </c:pt>
                <c:pt idx="97">
                  <c:v>121667.61455625904</c:v>
                </c:pt>
                <c:pt idx="98">
                  <c:v>121667.61455625904</c:v>
                </c:pt>
                <c:pt idx="99">
                  <c:v>121667.61455625904</c:v>
                </c:pt>
                <c:pt idx="100">
                  <c:v>121667.61455625904</c:v>
                </c:pt>
                <c:pt idx="101">
                  <c:v>121667.61455625904</c:v>
                </c:pt>
                <c:pt idx="102">
                  <c:v>121667.61455625904</c:v>
                </c:pt>
                <c:pt idx="103">
                  <c:v>121667.61455625904</c:v>
                </c:pt>
                <c:pt idx="104">
                  <c:v>121667.61455625904</c:v>
                </c:pt>
                <c:pt idx="105">
                  <c:v>121667.61455625904</c:v>
                </c:pt>
                <c:pt idx="106">
                  <c:v>121667.61455625904</c:v>
                </c:pt>
                <c:pt idx="107">
                  <c:v>121667.61455625904</c:v>
                </c:pt>
                <c:pt idx="108">
                  <c:v>121667.61455625904</c:v>
                </c:pt>
                <c:pt idx="109">
                  <c:v>121667.61455625904</c:v>
                </c:pt>
                <c:pt idx="110">
                  <c:v>121667.61455625904</c:v>
                </c:pt>
                <c:pt idx="111">
                  <c:v>121667.61455625904</c:v>
                </c:pt>
                <c:pt idx="112">
                  <c:v>121667.61455625904</c:v>
                </c:pt>
                <c:pt idx="113">
                  <c:v>121667.61455625904</c:v>
                </c:pt>
                <c:pt idx="114">
                  <c:v>121667.61455625904</c:v>
                </c:pt>
                <c:pt idx="115">
                  <c:v>121667.61455625904</c:v>
                </c:pt>
                <c:pt idx="116">
                  <c:v>121667.61455625904</c:v>
                </c:pt>
                <c:pt idx="117">
                  <c:v>121667.61455625904</c:v>
                </c:pt>
                <c:pt idx="118">
                  <c:v>128609.0218444733</c:v>
                </c:pt>
                <c:pt idx="119">
                  <c:v>128609.0218444733</c:v>
                </c:pt>
                <c:pt idx="120">
                  <c:v>128609.0218444733</c:v>
                </c:pt>
                <c:pt idx="121">
                  <c:v>128609.0218444733</c:v>
                </c:pt>
                <c:pt idx="122">
                  <c:v>128609.0218444733</c:v>
                </c:pt>
                <c:pt idx="123">
                  <c:v>128609.0218444733</c:v>
                </c:pt>
                <c:pt idx="124">
                  <c:v>128609.0218444733</c:v>
                </c:pt>
                <c:pt idx="125">
                  <c:v>128609.0218444733</c:v>
                </c:pt>
                <c:pt idx="126">
                  <c:v>128609.0218444733</c:v>
                </c:pt>
                <c:pt idx="127">
                  <c:v>128609.0218444733</c:v>
                </c:pt>
                <c:pt idx="128">
                  <c:v>128609.0218444733</c:v>
                </c:pt>
                <c:pt idx="129">
                  <c:v>128609.0218444733</c:v>
                </c:pt>
                <c:pt idx="130">
                  <c:v>128609.0218444733</c:v>
                </c:pt>
                <c:pt idx="131">
                  <c:v>128609.0218444733</c:v>
                </c:pt>
                <c:pt idx="132">
                  <c:v>128609.0218444733</c:v>
                </c:pt>
                <c:pt idx="133">
                  <c:v>128609.0218444733</c:v>
                </c:pt>
                <c:pt idx="134">
                  <c:v>128609.0218444733</c:v>
                </c:pt>
                <c:pt idx="135">
                  <c:v>128609.0218444733</c:v>
                </c:pt>
                <c:pt idx="136">
                  <c:v>128609.0218444733</c:v>
                </c:pt>
                <c:pt idx="137">
                  <c:v>128609.0218444733</c:v>
                </c:pt>
                <c:pt idx="138">
                  <c:v>128609.0218444733</c:v>
                </c:pt>
                <c:pt idx="139">
                  <c:v>128609.0218444733</c:v>
                </c:pt>
                <c:pt idx="140">
                  <c:v>128609.0218444733</c:v>
                </c:pt>
                <c:pt idx="141">
                  <c:v>128609.0218444733</c:v>
                </c:pt>
                <c:pt idx="142">
                  <c:v>128609.0218444733</c:v>
                </c:pt>
                <c:pt idx="143">
                  <c:v>128609.0218444733</c:v>
                </c:pt>
                <c:pt idx="144">
                  <c:v>128609.0218444733</c:v>
                </c:pt>
                <c:pt idx="145">
                  <c:v>128609.0218444733</c:v>
                </c:pt>
                <c:pt idx="146">
                  <c:v>128609.0218444733</c:v>
                </c:pt>
                <c:pt idx="147">
                  <c:v>128609.0218444733</c:v>
                </c:pt>
                <c:pt idx="148">
                  <c:v>128609.0218444733</c:v>
                </c:pt>
                <c:pt idx="149">
                  <c:v>128609.0218444733</c:v>
                </c:pt>
                <c:pt idx="150">
                  <c:v>128609.0218444733</c:v>
                </c:pt>
                <c:pt idx="151">
                  <c:v>128609.0218444733</c:v>
                </c:pt>
                <c:pt idx="152">
                  <c:v>128609.0218444733</c:v>
                </c:pt>
                <c:pt idx="153">
                  <c:v>128609.0218444733</c:v>
                </c:pt>
                <c:pt idx="154">
                  <c:v>128609.0218444733</c:v>
                </c:pt>
                <c:pt idx="155">
                  <c:v>128609.0218444733</c:v>
                </c:pt>
                <c:pt idx="156">
                  <c:v>128609.0218444733</c:v>
                </c:pt>
                <c:pt idx="157">
                  <c:v>128609.0218444733</c:v>
                </c:pt>
                <c:pt idx="158">
                  <c:v>128609.0218444733</c:v>
                </c:pt>
                <c:pt idx="159">
                  <c:v>128609.0218444733</c:v>
                </c:pt>
                <c:pt idx="160">
                  <c:v>128609.0218444733</c:v>
                </c:pt>
                <c:pt idx="161">
                  <c:v>128609.0218444733</c:v>
                </c:pt>
                <c:pt idx="162">
                  <c:v>128609.0218444733</c:v>
                </c:pt>
                <c:pt idx="163">
                  <c:v>128609.0218444733</c:v>
                </c:pt>
                <c:pt idx="164">
                  <c:v>128609.0218444733</c:v>
                </c:pt>
                <c:pt idx="165">
                  <c:v>128609.0218444733</c:v>
                </c:pt>
                <c:pt idx="166">
                  <c:v>128609.0218444733</c:v>
                </c:pt>
                <c:pt idx="167">
                  <c:v>128609.0218444733</c:v>
                </c:pt>
                <c:pt idx="168">
                  <c:v>128609.0218444733</c:v>
                </c:pt>
                <c:pt idx="169">
                  <c:v>128609.0218444733</c:v>
                </c:pt>
                <c:pt idx="170">
                  <c:v>128609.0218444733</c:v>
                </c:pt>
                <c:pt idx="171">
                  <c:v>128609.0218444733</c:v>
                </c:pt>
                <c:pt idx="172">
                  <c:v>128609.0218444733</c:v>
                </c:pt>
                <c:pt idx="173">
                  <c:v>128609.0218444733</c:v>
                </c:pt>
                <c:pt idx="174">
                  <c:v>128609.0218444733</c:v>
                </c:pt>
                <c:pt idx="175">
                  <c:v>128609.0218444733</c:v>
                </c:pt>
                <c:pt idx="176">
                  <c:v>128609.0218444733</c:v>
                </c:pt>
                <c:pt idx="177">
                  <c:v>128609.0218444733</c:v>
                </c:pt>
                <c:pt idx="178">
                  <c:v>140524.47704383376</c:v>
                </c:pt>
                <c:pt idx="179">
                  <c:v>140524.47704383376</c:v>
                </c:pt>
                <c:pt idx="180">
                  <c:v>140524.47704383376</c:v>
                </c:pt>
                <c:pt idx="181">
                  <c:v>140524.47704383376</c:v>
                </c:pt>
                <c:pt idx="182">
                  <c:v>140524.47704383376</c:v>
                </c:pt>
                <c:pt idx="183">
                  <c:v>140524.47704383376</c:v>
                </c:pt>
                <c:pt idx="184">
                  <c:v>140524.47704383376</c:v>
                </c:pt>
                <c:pt idx="185">
                  <c:v>140524.47704383376</c:v>
                </c:pt>
                <c:pt idx="186">
                  <c:v>140524.47704383376</c:v>
                </c:pt>
                <c:pt idx="187">
                  <c:v>140524.47704383376</c:v>
                </c:pt>
                <c:pt idx="188">
                  <c:v>140524.47704383376</c:v>
                </c:pt>
                <c:pt idx="189">
                  <c:v>140524.47704383376</c:v>
                </c:pt>
                <c:pt idx="190">
                  <c:v>140524.47704383376</c:v>
                </c:pt>
                <c:pt idx="191">
                  <c:v>140524.47704383376</c:v>
                </c:pt>
                <c:pt idx="192">
                  <c:v>140524.47704383376</c:v>
                </c:pt>
                <c:pt idx="193">
                  <c:v>140524.47704383376</c:v>
                </c:pt>
                <c:pt idx="194">
                  <c:v>140524.47704383376</c:v>
                </c:pt>
                <c:pt idx="195">
                  <c:v>140524.47704383376</c:v>
                </c:pt>
                <c:pt idx="196">
                  <c:v>140524.47704383376</c:v>
                </c:pt>
                <c:pt idx="197">
                  <c:v>140524.47704383376</c:v>
                </c:pt>
                <c:pt idx="198">
                  <c:v>140524.47704383376</c:v>
                </c:pt>
                <c:pt idx="199">
                  <c:v>140524.47704383376</c:v>
                </c:pt>
                <c:pt idx="200">
                  <c:v>140524.47704383376</c:v>
                </c:pt>
                <c:pt idx="201">
                  <c:v>140524.47704383376</c:v>
                </c:pt>
                <c:pt idx="202">
                  <c:v>140524.47704383376</c:v>
                </c:pt>
                <c:pt idx="203">
                  <c:v>140524.47704383376</c:v>
                </c:pt>
                <c:pt idx="204">
                  <c:v>140524.47704383376</c:v>
                </c:pt>
                <c:pt idx="205">
                  <c:v>140524.47704383376</c:v>
                </c:pt>
                <c:pt idx="206">
                  <c:v>140524.47704383376</c:v>
                </c:pt>
                <c:pt idx="207">
                  <c:v>140524.47704383376</c:v>
                </c:pt>
                <c:pt idx="208">
                  <c:v>140524.47704383376</c:v>
                </c:pt>
                <c:pt idx="209">
                  <c:v>140524.47704383376</c:v>
                </c:pt>
                <c:pt idx="210">
                  <c:v>140524.47704383376</c:v>
                </c:pt>
                <c:pt idx="211">
                  <c:v>140524.47704383376</c:v>
                </c:pt>
                <c:pt idx="212">
                  <c:v>140524.47704383376</c:v>
                </c:pt>
                <c:pt idx="213">
                  <c:v>140524.47704383376</c:v>
                </c:pt>
                <c:pt idx="214">
                  <c:v>140524.47704383376</c:v>
                </c:pt>
                <c:pt idx="215">
                  <c:v>140524.47704383376</c:v>
                </c:pt>
                <c:pt idx="216">
                  <c:v>140524.47704383376</c:v>
                </c:pt>
                <c:pt idx="217">
                  <c:v>140524.47704383376</c:v>
                </c:pt>
                <c:pt idx="218">
                  <c:v>140524.47704383376</c:v>
                </c:pt>
                <c:pt idx="219">
                  <c:v>140524.47704383376</c:v>
                </c:pt>
                <c:pt idx="220">
                  <c:v>140524.47704383376</c:v>
                </c:pt>
                <c:pt idx="221">
                  <c:v>140524.47704383376</c:v>
                </c:pt>
                <c:pt idx="222">
                  <c:v>140524.47704383376</c:v>
                </c:pt>
                <c:pt idx="223">
                  <c:v>140524.47704383376</c:v>
                </c:pt>
                <c:pt idx="224">
                  <c:v>140524.47704383376</c:v>
                </c:pt>
                <c:pt idx="225">
                  <c:v>140524.47704383376</c:v>
                </c:pt>
                <c:pt idx="226">
                  <c:v>140524.47704383376</c:v>
                </c:pt>
                <c:pt idx="227">
                  <c:v>140524.47704383376</c:v>
                </c:pt>
                <c:pt idx="228">
                  <c:v>140524.47704383376</c:v>
                </c:pt>
                <c:pt idx="229">
                  <c:v>140524.47704383376</c:v>
                </c:pt>
                <c:pt idx="230">
                  <c:v>140524.47704383376</c:v>
                </c:pt>
                <c:pt idx="231">
                  <c:v>140524.47704383376</c:v>
                </c:pt>
                <c:pt idx="232">
                  <c:v>140524.47704383376</c:v>
                </c:pt>
                <c:pt idx="233">
                  <c:v>140524.47704383376</c:v>
                </c:pt>
                <c:pt idx="234">
                  <c:v>140524.47704383376</c:v>
                </c:pt>
                <c:pt idx="235">
                  <c:v>140524.47704383376</c:v>
                </c:pt>
                <c:pt idx="236">
                  <c:v>140524.47704383376</c:v>
                </c:pt>
                <c:pt idx="237">
                  <c:v>140524.47704383376</c:v>
                </c:pt>
                <c:pt idx="238">
                  <c:v>150233.43899513036</c:v>
                </c:pt>
                <c:pt idx="239">
                  <c:v>150233.43899513036</c:v>
                </c:pt>
                <c:pt idx="240">
                  <c:v>150233.43899513036</c:v>
                </c:pt>
                <c:pt idx="241">
                  <c:v>150233.43899513036</c:v>
                </c:pt>
                <c:pt idx="242">
                  <c:v>150233.43899513036</c:v>
                </c:pt>
                <c:pt idx="243">
                  <c:v>150233.43899513036</c:v>
                </c:pt>
                <c:pt idx="244">
                  <c:v>150233.43899513036</c:v>
                </c:pt>
                <c:pt idx="245">
                  <c:v>150233.43899513036</c:v>
                </c:pt>
                <c:pt idx="246">
                  <c:v>150233.43899513036</c:v>
                </c:pt>
                <c:pt idx="247">
                  <c:v>150233.43899513036</c:v>
                </c:pt>
                <c:pt idx="248">
                  <c:v>150233.43899513036</c:v>
                </c:pt>
                <c:pt idx="249">
                  <c:v>150233.43899513036</c:v>
                </c:pt>
                <c:pt idx="250">
                  <c:v>150233.43899513036</c:v>
                </c:pt>
                <c:pt idx="251">
                  <c:v>150233.43899513036</c:v>
                </c:pt>
                <c:pt idx="252">
                  <c:v>150233.43899513036</c:v>
                </c:pt>
                <c:pt idx="253">
                  <c:v>150233.43899513036</c:v>
                </c:pt>
                <c:pt idx="254">
                  <c:v>150233.43899513036</c:v>
                </c:pt>
                <c:pt idx="255">
                  <c:v>150233.43899513036</c:v>
                </c:pt>
                <c:pt idx="256">
                  <c:v>150233.43899513036</c:v>
                </c:pt>
                <c:pt idx="257">
                  <c:v>150233.43899513036</c:v>
                </c:pt>
                <c:pt idx="258">
                  <c:v>150233.43899513036</c:v>
                </c:pt>
                <c:pt idx="259">
                  <c:v>150233.43899513036</c:v>
                </c:pt>
                <c:pt idx="260">
                  <c:v>150233.43899513036</c:v>
                </c:pt>
                <c:pt idx="261">
                  <c:v>150233.43899513036</c:v>
                </c:pt>
                <c:pt idx="262">
                  <c:v>150233.43899513036</c:v>
                </c:pt>
                <c:pt idx="263">
                  <c:v>150233.43899513036</c:v>
                </c:pt>
                <c:pt idx="264">
                  <c:v>150233.43899513036</c:v>
                </c:pt>
                <c:pt idx="265">
                  <c:v>150233.43899513036</c:v>
                </c:pt>
                <c:pt idx="266">
                  <c:v>150233.43899513036</c:v>
                </c:pt>
                <c:pt idx="267">
                  <c:v>150233.43899513036</c:v>
                </c:pt>
                <c:pt idx="268">
                  <c:v>150233.43899513036</c:v>
                </c:pt>
                <c:pt idx="269">
                  <c:v>150233.43899513036</c:v>
                </c:pt>
                <c:pt idx="270">
                  <c:v>150233.43899513036</c:v>
                </c:pt>
                <c:pt idx="271">
                  <c:v>150233.43899513036</c:v>
                </c:pt>
                <c:pt idx="272">
                  <c:v>150233.43899513036</c:v>
                </c:pt>
                <c:pt idx="273">
                  <c:v>150233.43899513036</c:v>
                </c:pt>
                <c:pt idx="274">
                  <c:v>150233.43899513036</c:v>
                </c:pt>
                <c:pt idx="275">
                  <c:v>150233.43899513036</c:v>
                </c:pt>
                <c:pt idx="276">
                  <c:v>150233.43899513036</c:v>
                </c:pt>
                <c:pt idx="277">
                  <c:v>150233.43899513036</c:v>
                </c:pt>
                <c:pt idx="278">
                  <c:v>150233.43899513036</c:v>
                </c:pt>
                <c:pt idx="279">
                  <c:v>150233.43899513036</c:v>
                </c:pt>
                <c:pt idx="280">
                  <c:v>150233.43899513036</c:v>
                </c:pt>
                <c:pt idx="281">
                  <c:v>150233.43899513036</c:v>
                </c:pt>
                <c:pt idx="282">
                  <c:v>150233.43899513036</c:v>
                </c:pt>
                <c:pt idx="283">
                  <c:v>150233.43899513036</c:v>
                </c:pt>
                <c:pt idx="284">
                  <c:v>150233.43899513036</c:v>
                </c:pt>
                <c:pt idx="285">
                  <c:v>150233.43899513036</c:v>
                </c:pt>
                <c:pt idx="286">
                  <c:v>150233.43899513036</c:v>
                </c:pt>
                <c:pt idx="287">
                  <c:v>150233.43899513036</c:v>
                </c:pt>
                <c:pt idx="288">
                  <c:v>150233.43899513036</c:v>
                </c:pt>
                <c:pt idx="289">
                  <c:v>150233.43899513036</c:v>
                </c:pt>
                <c:pt idx="290">
                  <c:v>150233.43899513036</c:v>
                </c:pt>
                <c:pt idx="291">
                  <c:v>150233.43899513036</c:v>
                </c:pt>
                <c:pt idx="292">
                  <c:v>150233.43899513036</c:v>
                </c:pt>
                <c:pt idx="293">
                  <c:v>150233.43899513036</c:v>
                </c:pt>
                <c:pt idx="294">
                  <c:v>150233.43899513036</c:v>
                </c:pt>
                <c:pt idx="295">
                  <c:v>150233.43899513036</c:v>
                </c:pt>
                <c:pt idx="296">
                  <c:v>150233.43899513036</c:v>
                </c:pt>
                <c:pt idx="297">
                  <c:v>150233.43899513036</c:v>
                </c:pt>
                <c:pt idx="298">
                  <c:v>150233.43899513065</c:v>
                </c:pt>
                <c:pt idx="299">
                  <c:v>150233.43899513065</c:v>
                </c:pt>
                <c:pt idx="300">
                  <c:v>150233.43899513065</c:v>
                </c:pt>
                <c:pt idx="301">
                  <c:v>150233.43899513065</c:v>
                </c:pt>
                <c:pt idx="302">
                  <c:v>150233.43899513065</c:v>
                </c:pt>
                <c:pt idx="303">
                  <c:v>150233.43899513065</c:v>
                </c:pt>
                <c:pt idx="304">
                  <c:v>150233.43899513065</c:v>
                </c:pt>
                <c:pt idx="305">
                  <c:v>150233.43899513065</c:v>
                </c:pt>
                <c:pt idx="306">
                  <c:v>150233.43899513065</c:v>
                </c:pt>
                <c:pt idx="307">
                  <c:v>150233.43899513065</c:v>
                </c:pt>
                <c:pt idx="308">
                  <c:v>150233.43899513065</c:v>
                </c:pt>
                <c:pt idx="309">
                  <c:v>150233.43899513065</c:v>
                </c:pt>
                <c:pt idx="310">
                  <c:v>150233.43899513065</c:v>
                </c:pt>
                <c:pt idx="311">
                  <c:v>150233.43899513065</c:v>
                </c:pt>
                <c:pt idx="312">
                  <c:v>150233.43899513065</c:v>
                </c:pt>
                <c:pt idx="313">
                  <c:v>150233.43899513065</c:v>
                </c:pt>
                <c:pt idx="314">
                  <c:v>150233.43899513065</c:v>
                </c:pt>
                <c:pt idx="315">
                  <c:v>150233.43899513065</c:v>
                </c:pt>
                <c:pt idx="316">
                  <c:v>150233.43899513065</c:v>
                </c:pt>
                <c:pt idx="317">
                  <c:v>150233.43899513065</c:v>
                </c:pt>
                <c:pt idx="318">
                  <c:v>150233.43899513065</c:v>
                </c:pt>
                <c:pt idx="319">
                  <c:v>150233.43899513065</c:v>
                </c:pt>
                <c:pt idx="320">
                  <c:v>150233.43899513065</c:v>
                </c:pt>
                <c:pt idx="321">
                  <c:v>150233.43899513065</c:v>
                </c:pt>
                <c:pt idx="322">
                  <c:v>150233.43899513065</c:v>
                </c:pt>
                <c:pt idx="323">
                  <c:v>150233.43899513065</c:v>
                </c:pt>
                <c:pt idx="324">
                  <c:v>150233.43899513065</c:v>
                </c:pt>
                <c:pt idx="325">
                  <c:v>150233.43899513065</c:v>
                </c:pt>
                <c:pt idx="326">
                  <c:v>150233.43899513065</c:v>
                </c:pt>
                <c:pt idx="327">
                  <c:v>150233.43899513065</c:v>
                </c:pt>
                <c:pt idx="328">
                  <c:v>150233.43899513065</c:v>
                </c:pt>
                <c:pt idx="329">
                  <c:v>150233.43899513065</c:v>
                </c:pt>
                <c:pt idx="330">
                  <c:v>150233.43899513065</c:v>
                </c:pt>
                <c:pt idx="331">
                  <c:v>150233.43899513065</c:v>
                </c:pt>
                <c:pt idx="332">
                  <c:v>150233.43899513065</c:v>
                </c:pt>
                <c:pt idx="333">
                  <c:v>150233.43899513065</c:v>
                </c:pt>
                <c:pt idx="334">
                  <c:v>150233.43899513065</c:v>
                </c:pt>
                <c:pt idx="335">
                  <c:v>150233.43899513065</c:v>
                </c:pt>
                <c:pt idx="336">
                  <c:v>150233.43899513065</c:v>
                </c:pt>
                <c:pt idx="337">
                  <c:v>150233.43899513065</c:v>
                </c:pt>
                <c:pt idx="338">
                  <c:v>150233.43899513065</c:v>
                </c:pt>
                <c:pt idx="339">
                  <c:v>150233.43899513065</c:v>
                </c:pt>
                <c:pt idx="340">
                  <c:v>150233.43899513065</c:v>
                </c:pt>
                <c:pt idx="341">
                  <c:v>150233.43899513065</c:v>
                </c:pt>
                <c:pt idx="342">
                  <c:v>150233.43899513065</c:v>
                </c:pt>
                <c:pt idx="343">
                  <c:v>150233.43899513065</c:v>
                </c:pt>
                <c:pt idx="344">
                  <c:v>150233.43899513065</c:v>
                </c:pt>
                <c:pt idx="345">
                  <c:v>150233.43899513065</c:v>
                </c:pt>
                <c:pt idx="346">
                  <c:v>150233.43899513065</c:v>
                </c:pt>
                <c:pt idx="347">
                  <c:v>150233.43899513065</c:v>
                </c:pt>
                <c:pt idx="348">
                  <c:v>150233.43899513065</c:v>
                </c:pt>
                <c:pt idx="349">
                  <c:v>150233.43899513065</c:v>
                </c:pt>
                <c:pt idx="350">
                  <c:v>150233.43899513065</c:v>
                </c:pt>
                <c:pt idx="351">
                  <c:v>150233.43899513065</c:v>
                </c:pt>
                <c:pt idx="352">
                  <c:v>150233.43899513065</c:v>
                </c:pt>
                <c:pt idx="353">
                  <c:v>150233.43899513065</c:v>
                </c:pt>
                <c:pt idx="354">
                  <c:v>150233.43899513065</c:v>
                </c:pt>
                <c:pt idx="355">
                  <c:v>150233.43899513065</c:v>
                </c:pt>
                <c:pt idx="356">
                  <c:v>150233.43899513065</c:v>
                </c:pt>
                <c:pt idx="357">
                  <c:v>150233.43899513065</c:v>
                </c:pt>
                <c:pt idx="358">
                  <c:v>150233.43899513123</c:v>
                </c:pt>
                <c:pt idx="359">
                  <c:v>150233.43899513123</c:v>
                </c:pt>
                <c:pt idx="360">
                  <c:v>150233.43899513123</c:v>
                </c:pt>
                <c:pt idx="361">
                  <c:v>150233.43899513123</c:v>
                </c:pt>
                <c:pt idx="362">
                  <c:v>150233.43899513123</c:v>
                </c:pt>
                <c:pt idx="363">
                  <c:v>150233.43899513123</c:v>
                </c:pt>
                <c:pt idx="364">
                  <c:v>150233.43899513123</c:v>
                </c:pt>
                <c:pt idx="365">
                  <c:v>150233.43899513123</c:v>
                </c:pt>
                <c:pt idx="366">
                  <c:v>150233.43899513123</c:v>
                </c:pt>
                <c:pt idx="367">
                  <c:v>150233.43899513123</c:v>
                </c:pt>
                <c:pt idx="368">
                  <c:v>150233.43899513123</c:v>
                </c:pt>
                <c:pt idx="369">
                  <c:v>150233.43899513123</c:v>
                </c:pt>
                <c:pt idx="370">
                  <c:v>150233.43899513123</c:v>
                </c:pt>
                <c:pt idx="371">
                  <c:v>150233.43899513123</c:v>
                </c:pt>
                <c:pt idx="372">
                  <c:v>150233.43899513123</c:v>
                </c:pt>
                <c:pt idx="373">
                  <c:v>150233.43899513123</c:v>
                </c:pt>
                <c:pt idx="374">
                  <c:v>150233.43899513123</c:v>
                </c:pt>
                <c:pt idx="375">
                  <c:v>150233.43899513123</c:v>
                </c:pt>
                <c:pt idx="376">
                  <c:v>150233.43899513123</c:v>
                </c:pt>
                <c:pt idx="377">
                  <c:v>150233.43899513123</c:v>
                </c:pt>
                <c:pt idx="378">
                  <c:v>150233.43899513123</c:v>
                </c:pt>
                <c:pt idx="379">
                  <c:v>150233.43899513123</c:v>
                </c:pt>
                <c:pt idx="380">
                  <c:v>150233.43899513123</c:v>
                </c:pt>
                <c:pt idx="381">
                  <c:v>150233.43899513123</c:v>
                </c:pt>
                <c:pt idx="382">
                  <c:v>150233.43899513123</c:v>
                </c:pt>
                <c:pt idx="383">
                  <c:v>150233.43899513123</c:v>
                </c:pt>
                <c:pt idx="384">
                  <c:v>150233.43899513123</c:v>
                </c:pt>
                <c:pt idx="385">
                  <c:v>150233.43899513123</c:v>
                </c:pt>
                <c:pt idx="386">
                  <c:v>150233.43899513123</c:v>
                </c:pt>
                <c:pt idx="387">
                  <c:v>150233.43899513123</c:v>
                </c:pt>
                <c:pt idx="388">
                  <c:v>150233.43899513123</c:v>
                </c:pt>
                <c:pt idx="389">
                  <c:v>150233.43899513123</c:v>
                </c:pt>
                <c:pt idx="390">
                  <c:v>150233.43899513123</c:v>
                </c:pt>
                <c:pt idx="391">
                  <c:v>150233.43899513123</c:v>
                </c:pt>
                <c:pt idx="392">
                  <c:v>150233.43899513123</c:v>
                </c:pt>
                <c:pt idx="393">
                  <c:v>150233.43899513123</c:v>
                </c:pt>
                <c:pt idx="394">
                  <c:v>150233.43899513123</c:v>
                </c:pt>
                <c:pt idx="395">
                  <c:v>150233.43899513123</c:v>
                </c:pt>
                <c:pt idx="396">
                  <c:v>150233.43899513123</c:v>
                </c:pt>
                <c:pt idx="397">
                  <c:v>150233.43899513123</c:v>
                </c:pt>
                <c:pt idx="398">
                  <c:v>150233.43899513123</c:v>
                </c:pt>
                <c:pt idx="399">
                  <c:v>150233.43899513123</c:v>
                </c:pt>
                <c:pt idx="400">
                  <c:v>150233.43899513123</c:v>
                </c:pt>
                <c:pt idx="401">
                  <c:v>150233.43899513123</c:v>
                </c:pt>
                <c:pt idx="402">
                  <c:v>150233.43899513123</c:v>
                </c:pt>
                <c:pt idx="403">
                  <c:v>150233.43899513123</c:v>
                </c:pt>
                <c:pt idx="404">
                  <c:v>150233.43899513123</c:v>
                </c:pt>
                <c:pt idx="405">
                  <c:v>150233.43899513123</c:v>
                </c:pt>
                <c:pt idx="406">
                  <c:v>150233.43899513123</c:v>
                </c:pt>
                <c:pt idx="407">
                  <c:v>150233.43899513123</c:v>
                </c:pt>
                <c:pt idx="408">
                  <c:v>150233.43899513123</c:v>
                </c:pt>
                <c:pt idx="409">
                  <c:v>150233.43899513123</c:v>
                </c:pt>
                <c:pt idx="410">
                  <c:v>150233.43899513123</c:v>
                </c:pt>
                <c:pt idx="411">
                  <c:v>150233.43899513123</c:v>
                </c:pt>
                <c:pt idx="412">
                  <c:v>150233.43899513123</c:v>
                </c:pt>
                <c:pt idx="413">
                  <c:v>150233.43899513123</c:v>
                </c:pt>
                <c:pt idx="414">
                  <c:v>150233.43899513123</c:v>
                </c:pt>
                <c:pt idx="415">
                  <c:v>150233.43899513123</c:v>
                </c:pt>
                <c:pt idx="416">
                  <c:v>150233.43899513123</c:v>
                </c:pt>
                <c:pt idx="417">
                  <c:v>150233.43899516284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C6-48EB-8A44-4854A11F3ADA}"/>
            </c:ext>
          </c:extLst>
        </c:ser>
        <c:ser>
          <c:idx val="1"/>
          <c:order val="1"/>
          <c:tx>
            <c:v>通常返済額（繰上あり）</c:v>
          </c:tx>
          <c:spPr>
            <a:ln w="19050">
              <a:solidFill>
                <a:srgbClr val="168B8B"/>
              </a:solidFill>
              <a:prstDash val="solid"/>
            </a:ln>
          </c:spPr>
          <c:marker>
            <c:symbol val="none"/>
          </c:marker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結果サマリー!$U$6:$U$603</c:f>
              <c:numCache>
                <c:formatCode>#,##0</c:formatCode>
                <c:ptCount val="598"/>
                <c:pt idx="0">
                  <c:v>100604.4016546396</c:v>
                </c:pt>
                <c:pt idx="1">
                  <c:v>100604.4016546396</c:v>
                </c:pt>
                <c:pt idx="2">
                  <c:v>100604.4016546396</c:v>
                </c:pt>
                <c:pt idx="3">
                  <c:v>100604.4016546396</c:v>
                </c:pt>
                <c:pt idx="4">
                  <c:v>100604.4016546396</c:v>
                </c:pt>
                <c:pt idx="5">
                  <c:v>100604.4016546396</c:v>
                </c:pt>
                <c:pt idx="6">
                  <c:v>100604.4016546396</c:v>
                </c:pt>
                <c:pt idx="7">
                  <c:v>100604.4016546396</c:v>
                </c:pt>
                <c:pt idx="8">
                  <c:v>100604.4016546396</c:v>
                </c:pt>
                <c:pt idx="9">
                  <c:v>100604.4016546396</c:v>
                </c:pt>
                <c:pt idx="10">
                  <c:v>100604.4016546396</c:v>
                </c:pt>
                <c:pt idx="11">
                  <c:v>100604.4016546396</c:v>
                </c:pt>
                <c:pt idx="12">
                  <c:v>100604.4016546396</c:v>
                </c:pt>
                <c:pt idx="13">
                  <c:v>100604.4016546396</c:v>
                </c:pt>
                <c:pt idx="14">
                  <c:v>100604.4016546396</c:v>
                </c:pt>
                <c:pt idx="15">
                  <c:v>100604.4016546396</c:v>
                </c:pt>
                <c:pt idx="16">
                  <c:v>100604.4016546396</c:v>
                </c:pt>
                <c:pt idx="17">
                  <c:v>100604.4016546396</c:v>
                </c:pt>
                <c:pt idx="18">
                  <c:v>100604.4016546396</c:v>
                </c:pt>
                <c:pt idx="19">
                  <c:v>100604.4016546396</c:v>
                </c:pt>
                <c:pt idx="20">
                  <c:v>100604.4016546396</c:v>
                </c:pt>
                <c:pt idx="21">
                  <c:v>100604.4016546396</c:v>
                </c:pt>
                <c:pt idx="22">
                  <c:v>100604.4016546396</c:v>
                </c:pt>
                <c:pt idx="23">
                  <c:v>100604.4016546396</c:v>
                </c:pt>
                <c:pt idx="24">
                  <c:v>100604.4016546396</c:v>
                </c:pt>
                <c:pt idx="25">
                  <c:v>100604.4016546396</c:v>
                </c:pt>
                <c:pt idx="26">
                  <c:v>100604.4016546396</c:v>
                </c:pt>
                <c:pt idx="27">
                  <c:v>100604.4016546396</c:v>
                </c:pt>
                <c:pt idx="28">
                  <c:v>100604.4016546396</c:v>
                </c:pt>
                <c:pt idx="29">
                  <c:v>100604.4016546396</c:v>
                </c:pt>
                <c:pt idx="30">
                  <c:v>100604.4016546396</c:v>
                </c:pt>
                <c:pt idx="31">
                  <c:v>100604.4016546396</c:v>
                </c:pt>
                <c:pt idx="32">
                  <c:v>100604.4016546396</c:v>
                </c:pt>
                <c:pt idx="33">
                  <c:v>100604.4016546396</c:v>
                </c:pt>
                <c:pt idx="34">
                  <c:v>100604.4016546396</c:v>
                </c:pt>
                <c:pt idx="35">
                  <c:v>100604.4016546396</c:v>
                </c:pt>
                <c:pt idx="36">
                  <c:v>100604.4016546396</c:v>
                </c:pt>
                <c:pt idx="37">
                  <c:v>100604.4016546396</c:v>
                </c:pt>
                <c:pt idx="38">
                  <c:v>100604.4016546396</c:v>
                </c:pt>
                <c:pt idx="39">
                  <c:v>100604.4016546396</c:v>
                </c:pt>
                <c:pt idx="40">
                  <c:v>100604.4016546396</c:v>
                </c:pt>
                <c:pt idx="41">
                  <c:v>100604.4016546396</c:v>
                </c:pt>
                <c:pt idx="42">
                  <c:v>100604.4016546396</c:v>
                </c:pt>
                <c:pt idx="43">
                  <c:v>100604.4016546396</c:v>
                </c:pt>
                <c:pt idx="44">
                  <c:v>100604.4016546396</c:v>
                </c:pt>
                <c:pt idx="45">
                  <c:v>100604.4016546396</c:v>
                </c:pt>
                <c:pt idx="46">
                  <c:v>100604.4016546396</c:v>
                </c:pt>
                <c:pt idx="47">
                  <c:v>100604.4016546396</c:v>
                </c:pt>
                <c:pt idx="48">
                  <c:v>100604.4016546396</c:v>
                </c:pt>
                <c:pt idx="49">
                  <c:v>100604.4016546396</c:v>
                </c:pt>
                <c:pt idx="50">
                  <c:v>100604.4016546396</c:v>
                </c:pt>
                <c:pt idx="51">
                  <c:v>100604.4016546396</c:v>
                </c:pt>
                <c:pt idx="52">
                  <c:v>100604.4016546396</c:v>
                </c:pt>
                <c:pt idx="53">
                  <c:v>100604.4016546396</c:v>
                </c:pt>
                <c:pt idx="54">
                  <c:v>100604.4016546396</c:v>
                </c:pt>
                <c:pt idx="55">
                  <c:v>100604.4016546396</c:v>
                </c:pt>
                <c:pt idx="56">
                  <c:v>100604.4016546396</c:v>
                </c:pt>
                <c:pt idx="57">
                  <c:v>100604.4016546396</c:v>
                </c:pt>
                <c:pt idx="58">
                  <c:v>119082.40831799689</c:v>
                </c:pt>
                <c:pt idx="59">
                  <c:v>119082.40831799689</c:v>
                </c:pt>
                <c:pt idx="60">
                  <c:v>119082.40831799689</c:v>
                </c:pt>
                <c:pt idx="61">
                  <c:v>119082.40831799689</c:v>
                </c:pt>
                <c:pt idx="62">
                  <c:v>119082.40831799689</c:v>
                </c:pt>
                <c:pt idx="63">
                  <c:v>119082.40831799689</c:v>
                </c:pt>
                <c:pt idx="64">
                  <c:v>119082.40831799689</c:v>
                </c:pt>
                <c:pt idx="65">
                  <c:v>119082.40831799689</c:v>
                </c:pt>
                <c:pt idx="66">
                  <c:v>119082.40831799689</c:v>
                </c:pt>
                <c:pt idx="67">
                  <c:v>119082.40831799689</c:v>
                </c:pt>
                <c:pt idx="68">
                  <c:v>119082.40831799689</c:v>
                </c:pt>
                <c:pt idx="69">
                  <c:v>119082.40831799689</c:v>
                </c:pt>
                <c:pt idx="70">
                  <c:v>119082.40831799689</c:v>
                </c:pt>
                <c:pt idx="71">
                  <c:v>119082.40831799689</c:v>
                </c:pt>
                <c:pt idx="72">
                  <c:v>119082.40831799689</c:v>
                </c:pt>
                <c:pt idx="73">
                  <c:v>119082.40831799689</c:v>
                </c:pt>
                <c:pt idx="74">
                  <c:v>119082.40831799689</c:v>
                </c:pt>
                <c:pt idx="75">
                  <c:v>119082.40831799689</c:v>
                </c:pt>
                <c:pt idx="76">
                  <c:v>119082.40831799689</c:v>
                </c:pt>
                <c:pt idx="77">
                  <c:v>119082.40831799689</c:v>
                </c:pt>
                <c:pt idx="78">
                  <c:v>119082.40831799689</c:v>
                </c:pt>
                <c:pt idx="79">
                  <c:v>119082.40831799689</c:v>
                </c:pt>
                <c:pt idx="80">
                  <c:v>119082.40831799689</c:v>
                </c:pt>
                <c:pt idx="81">
                  <c:v>119082.40831799689</c:v>
                </c:pt>
                <c:pt idx="82">
                  <c:v>119082.40831799689</c:v>
                </c:pt>
                <c:pt idx="83">
                  <c:v>119082.40831799689</c:v>
                </c:pt>
                <c:pt idx="84">
                  <c:v>119082.40831799689</c:v>
                </c:pt>
                <c:pt idx="85">
                  <c:v>119082.40831799689</c:v>
                </c:pt>
                <c:pt idx="86">
                  <c:v>119082.40831799689</c:v>
                </c:pt>
                <c:pt idx="87">
                  <c:v>119082.40831799689</c:v>
                </c:pt>
                <c:pt idx="88">
                  <c:v>119082.40831799689</c:v>
                </c:pt>
                <c:pt idx="89">
                  <c:v>119082.40831799689</c:v>
                </c:pt>
                <c:pt idx="90">
                  <c:v>119082.40831799689</c:v>
                </c:pt>
                <c:pt idx="91">
                  <c:v>119082.40831799689</c:v>
                </c:pt>
                <c:pt idx="92">
                  <c:v>119082.40831799689</c:v>
                </c:pt>
                <c:pt idx="93">
                  <c:v>119082.40831799689</c:v>
                </c:pt>
                <c:pt idx="94">
                  <c:v>119082.40831799689</c:v>
                </c:pt>
                <c:pt idx="95">
                  <c:v>119082.40831799689</c:v>
                </c:pt>
                <c:pt idx="96">
                  <c:v>119082.40831799689</c:v>
                </c:pt>
                <c:pt idx="97">
                  <c:v>119082.40831799689</c:v>
                </c:pt>
                <c:pt idx="98">
                  <c:v>119082.40831799689</c:v>
                </c:pt>
                <c:pt idx="99">
                  <c:v>119082.40831799689</c:v>
                </c:pt>
                <c:pt idx="100">
                  <c:v>119082.40831799689</c:v>
                </c:pt>
                <c:pt idx="101">
                  <c:v>119082.40831799689</c:v>
                </c:pt>
                <c:pt idx="102">
                  <c:v>119082.40831799689</c:v>
                </c:pt>
                <c:pt idx="103">
                  <c:v>119082.40831799689</c:v>
                </c:pt>
                <c:pt idx="104">
                  <c:v>119082.40831799689</c:v>
                </c:pt>
                <c:pt idx="105">
                  <c:v>119082.40831799689</c:v>
                </c:pt>
                <c:pt idx="106">
                  <c:v>119082.40831799689</c:v>
                </c:pt>
                <c:pt idx="107">
                  <c:v>119082.40831799689</c:v>
                </c:pt>
                <c:pt idx="108">
                  <c:v>119082.40831799689</c:v>
                </c:pt>
                <c:pt idx="109">
                  <c:v>119082.40831799689</c:v>
                </c:pt>
                <c:pt idx="110">
                  <c:v>119082.40831799689</c:v>
                </c:pt>
                <c:pt idx="111">
                  <c:v>119082.40831799689</c:v>
                </c:pt>
                <c:pt idx="112">
                  <c:v>119082.40831799689</c:v>
                </c:pt>
                <c:pt idx="113">
                  <c:v>119082.40831799689</c:v>
                </c:pt>
                <c:pt idx="114">
                  <c:v>119082.40831799689</c:v>
                </c:pt>
                <c:pt idx="115">
                  <c:v>119082.40831799689</c:v>
                </c:pt>
                <c:pt idx="116">
                  <c:v>119082.40831799689</c:v>
                </c:pt>
                <c:pt idx="117">
                  <c:v>119082.40831799689</c:v>
                </c:pt>
                <c:pt idx="118">
                  <c:v>125052.99264303216</c:v>
                </c:pt>
                <c:pt idx="119">
                  <c:v>125052.99264303216</c:v>
                </c:pt>
                <c:pt idx="120">
                  <c:v>125052.99264303216</c:v>
                </c:pt>
                <c:pt idx="121">
                  <c:v>125052.99264303216</c:v>
                </c:pt>
                <c:pt idx="122">
                  <c:v>125052.99264303216</c:v>
                </c:pt>
                <c:pt idx="123">
                  <c:v>125052.99264303216</c:v>
                </c:pt>
                <c:pt idx="124">
                  <c:v>125052.99264303216</c:v>
                </c:pt>
                <c:pt idx="125">
                  <c:v>125052.99264303216</c:v>
                </c:pt>
                <c:pt idx="126">
                  <c:v>125052.99264303216</c:v>
                </c:pt>
                <c:pt idx="127">
                  <c:v>125052.99264303216</c:v>
                </c:pt>
                <c:pt idx="128">
                  <c:v>125052.99264303216</c:v>
                </c:pt>
                <c:pt idx="129">
                  <c:v>125052.99264303216</c:v>
                </c:pt>
                <c:pt idx="130">
                  <c:v>125052.99264303216</c:v>
                </c:pt>
                <c:pt idx="131">
                  <c:v>125052.99264303216</c:v>
                </c:pt>
                <c:pt idx="132">
                  <c:v>125052.99264303216</c:v>
                </c:pt>
                <c:pt idx="133">
                  <c:v>125052.99264303216</c:v>
                </c:pt>
                <c:pt idx="134">
                  <c:v>125052.99264303216</c:v>
                </c:pt>
                <c:pt idx="135">
                  <c:v>125052.99264303216</c:v>
                </c:pt>
                <c:pt idx="136">
                  <c:v>125052.99264303216</c:v>
                </c:pt>
                <c:pt idx="137">
                  <c:v>125052.99264303216</c:v>
                </c:pt>
                <c:pt idx="138">
                  <c:v>125052.99264303216</c:v>
                </c:pt>
                <c:pt idx="139">
                  <c:v>125052.99264303216</c:v>
                </c:pt>
                <c:pt idx="140">
                  <c:v>125052.99264303216</c:v>
                </c:pt>
                <c:pt idx="141">
                  <c:v>125052.99264303216</c:v>
                </c:pt>
                <c:pt idx="142">
                  <c:v>125052.99264303216</c:v>
                </c:pt>
                <c:pt idx="143">
                  <c:v>125052.99264303216</c:v>
                </c:pt>
                <c:pt idx="144">
                  <c:v>125052.99264303216</c:v>
                </c:pt>
                <c:pt idx="145">
                  <c:v>125052.99264303216</c:v>
                </c:pt>
                <c:pt idx="146">
                  <c:v>125052.99264303216</c:v>
                </c:pt>
                <c:pt idx="147">
                  <c:v>125052.99264303216</c:v>
                </c:pt>
                <c:pt idx="148">
                  <c:v>125052.99264303216</c:v>
                </c:pt>
                <c:pt idx="149">
                  <c:v>125052.99264303216</c:v>
                </c:pt>
                <c:pt idx="150">
                  <c:v>125052.99264303216</c:v>
                </c:pt>
                <c:pt idx="151">
                  <c:v>125052.99264303216</c:v>
                </c:pt>
                <c:pt idx="152">
                  <c:v>125052.99264303216</c:v>
                </c:pt>
                <c:pt idx="153">
                  <c:v>125052.99264303216</c:v>
                </c:pt>
                <c:pt idx="154">
                  <c:v>125052.99264303216</c:v>
                </c:pt>
                <c:pt idx="155">
                  <c:v>125052.99264303216</c:v>
                </c:pt>
                <c:pt idx="156">
                  <c:v>125052.99264303216</c:v>
                </c:pt>
                <c:pt idx="157">
                  <c:v>125052.99264303216</c:v>
                </c:pt>
                <c:pt idx="158">
                  <c:v>125052.99264303216</c:v>
                </c:pt>
                <c:pt idx="159">
                  <c:v>125052.99264303216</c:v>
                </c:pt>
                <c:pt idx="160">
                  <c:v>125052.99264303216</c:v>
                </c:pt>
                <c:pt idx="161">
                  <c:v>125052.99264303216</c:v>
                </c:pt>
                <c:pt idx="162">
                  <c:v>125052.99264303216</c:v>
                </c:pt>
                <c:pt idx="163">
                  <c:v>125052.99264303216</c:v>
                </c:pt>
                <c:pt idx="164">
                  <c:v>125052.99264303216</c:v>
                </c:pt>
                <c:pt idx="165">
                  <c:v>125052.99264303216</c:v>
                </c:pt>
                <c:pt idx="166">
                  <c:v>125052.99264303216</c:v>
                </c:pt>
                <c:pt idx="167">
                  <c:v>125052.99264303216</c:v>
                </c:pt>
                <c:pt idx="168">
                  <c:v>125052.99264303216</c:v>
                </c:pt>
                <c:pt idx="169">
                  <c:v>125052.99264303216</c:v>
                </c:pt>
                <c:pt idx="170">
                  <c:v>125052.99264303216</c:v>
                </c:pt>
                <c:pt idx="171">
                  <c:v>125052.99264303216</c:v>
                </c:pt>
                <c:pt idx="172">
                  <c:v>125052.99264303216</c:v>
                </c:pt>
                <c:pt idx="173">
                  <c:v>125052.99264303216</c:v>
                </c:pt>
                <c:pt idx="174">
                  <c:v>125052.99264303216</c:v>
                </c:pt>
                <c:pt idx="175">
                  <c:v>125052.99264303216</c:v>
                </c:pt>
                <c:pt idx="176">
                  <c:v>125052.99264303216</c:v>
                </c:pt>
                <c:pt idx="177">
                  <c:v>125052.99264303216</c:v>
                </c:pt>
                <c:pt idx="178">
                  <c:v>134858.23151181499</c:v>
                </c:pt>
                <c:pt idx="179">
                  <c:v>134858.23151181499</c:v>
                </c:pt>
                <c:pt idx="180">
                  <c:v>134858.23151181499</c:v>
                </c:pt>
                <c:pt idx="181">
                  <c:v>134858.23151181499</c:v>
                </c:pt>
                <c:pt idx="182">
                  <c:v>134858.23151181499</c:v>
                </c:pt>
                <c:pt idx="183">
                  <c:v>134858.23151181499</c:v>
                </c:pt>
                <c:pt idx="184">
                  <c:v>134858.23151181499</c:v>
                </c:pt>
                <c:pt idx="185">
                  <c:v>134858.23151181499</c:v>
                </c:pt>
                <c:pt idx="186">
                  <c:v>134858.23151181499</c:v>
                </c:pt>
                <c:pt idx="187">
                  <c:v>134858.23151181499</c:v>
                </c:pt>
                <c:pt idx="188">
                  <c:v>134858.23151181499</c:v>
                </c:pt>
                <c:pt idx="189">
                  <c:v>134858.23151181499</c:v>
                </c:pt>
                <c:pt idx="190">
                  <c:v>134858.23151181499</c:v>
                </c:pt>
                <c:pt idx="191">
                  <c:v>134858.23151181499</c:v>
                </c:pt>
                <c:pt idx="192">
                  <c:v>134858.23151181499</c:v>
                </c:pt>
                <c:pt idx="193">
                  <c:v>134858.23151181499</c:v>
                </c:pt>
                <c:pt idx="194">
                  <c:v>134858.23151181499</c:v>
                </c:pt>
                <c:pt idx="195">
                  <c:v>134858.23151181499</c:v>
                </c:pt>
                <c:pt idx="196">
                  <c:v>134858.23151181499</c:v>
                </c:pt>
                <c:pt idx="197">
                  <c:v>134858.23151181499</c:v>
                </c:pt>
                <c:pt idx="198">
                  <c:v>134858.23151181499</c:v>
                </c:pt>
                <c:pt idx="199">
                  <c:v>134858.23151181499</c:v>
                </c:pt>
                <c:pt idx="200">
                  <c:v>134858.23151181499</c:v>
                </c:pt>
                <c:pt idx="201">
                  <c:v>134858.23151181499</c:v>
                </c:pt>
                <c:pt idx="202">
                  <c:v>134858.23151181499</c:v>
                </c:pt>
                <c:pt idx="203">
                  <c:v>134858.23151181499</c:v>
                </c:pt>
                <c:pt idx="204">
                  <c:v>134858.23151181499</c:v>
                </c:pt>
                <c:pt idx="205">
                  <c:v>134858.23151181499</c:v>
                </c:pt>
                <c:pt idx="206">
                  <c:v>134858.23151181499</c:v>
                </c:pt>
                <c:pt idx="207">
                  <c:v>134858.23151181499</c:v>
                </c:pt>
                <c:pt idx="208">
                  <c:v>134858.23151181499</c:v>
                </c:pt>
                <c:pt idx="209">
                  <c:v>134858.23151181499</c:v>
                </c:pt>
                <c:pt idx="210">
                  <c:v>134858.23151181499</c:v>
                </c:pt>
                <c:pt idx="211">
                  <c:v>134858.23151181499</c:v>
                </c:pt>
                <c:pt idx="212">
                  <c:v>134858.23151181499</c:v>
                </c:pt>
                <c:pt idx="213">
                  <c:v>134858.23151181499</c:v>
                </c:pt>
                <c:pt idx="214">
                  <c:v>134858.23151181499</c:v>
                </c:pt>
                <c:pt idx="215">
                  <c:v>134858.23151181499</c:v>
                </c:pt>
                <c:pt idx="216">
                  <c:v>134858.23151181499</c:v>
                </c:pt>
                <c:pt idx="217">
                  <c:v>134858.23151181499</c:v>
                </c:pt>
                <c:pt idx="218">
                  <c:v>134858.23151181499</c:v>
                </c:pt>
                <c:pt idx="219">
                  <c:v>134858.23151181499</c:v>
                </c:pt>
                <c:pt idx="220">
                  <c:v>134858.23151181499</c:v>
                </c:pt>
                <c:pt idx="221">
                  <c:v>134858.23151181499</c:v>
                </c:pt>
                <c:pt idx="222">
                  <c:v>134858.23151181499</c:v>
                </c:pt>
                <c:pt idx="223">
                  <c:v>134858.23151181499</c:v>
                </c:pt>
                <c:pt idx="224">
                  <c:v>134858.23151181499</c:v>
                </c:pt>
                <c:pt idx="225">
                  <c:v>134858.23151181499</c:v>
                </c:pt>
                <c:pt idx="226">
                  <c:v>134858.23151181499</c:v>
                </c:pt>
                <c:pt idx="227">
                  <c:v>134858.23151181499</c:v>
                </c:pt>
                <c:pt idx="228">
                  <c:v>134858.23151181499</c:v>
                </c:pt>
                <c:pt idx="229">
                  <c:v>134858.23151181499</c:v>
                </c:pt>
                <c:pt idx="230">
                  <c:v>134858.23151181499</c:v>
                </c:pt>
                <c:pt idx="231">
                  <c:v>134858.23151181499</c:v>
                </c:pt>
                <c:pt idx="232">
                  <c:v>134858.23151181499</c:v>
                </c:pt>
                <c:pt idx="233">
                  <c:v>134858.23151181499</c:v>
                </c:pt>
                <c:pt idx="234">
                  <c:v>134858.23151181499</c:v>
                </c:pt>
                <c:pt idx="235">
                  <c:v>134858.23151181499</c:v>
                </c:pt>
                <c:pt idx="236">
                  <c:v>134858.23151181499</c:v>
                </c:pt>
                <c:pt idx="237">
                  <c:v>134858.23151181499</c:v>
                </c:pt>
                <c:pt idx="238">
                  <c:v>142266.59803560167</c:v>
                </c:pt>
                <c:pt idx="239">
                  <c:v>142266.59803560167</c:v>
                </c:pt>
                <c:pt idx="240">
                  <c:v>142266.59803560167</c:v>
                </c:pt>
                <c:pt idx="241">
                  <c:v>142266.59803560167</c:v>
                </c:pt>
                <c:pt idx="242">
                  <c:v>142266.59803560167</c:v>
                </c:pt>
                <c:pt idx="243">
                  <c:v>142266.59803560167</c:v>
                </c:pt>
                <c:pt idx="244">
                  <c:v>142266.59803560167</c:v>
                </c:pt>
                <c:pt idx="245">
                  <c:v>142266.59803560167</c:v>
                </c:pt>
                <c:pt idx="246">
                  <c:v>142266.59803560167</c:v>
                </c:pt>
                <c:pt idx="247">
                  <c:v>142266.59803560167</c:v>
                </c:pt>
                <c:pt idx="248">
                  <c:v>142266.59803560167</c:v>
                </c:pt>
                <c:pt idx="249">
                  <c:v>142266.59803560167</c:v>
                </c:pt>
                <c:pt idx="250">
                  <c:v>142266.59803560167</c:v>
                </c:pt>
                <c:pt idx="251">
                  <c:v>142266.59803560167</c:v>
                </c:pt>
                <c:pt idx="252">
                  <c:v>142266.59803560167</c:v>
                </c:pt>
                <c:pt idx="253">
                  <c:v>142266.59803560167</c:v>
                </c:pt>
                <c:pt idx="254">
                  <c:v>142266.59803560167</c:v>
                </c:pt>
                <c:pt idx="255">
                  <c:v>142266.59803560167</c:v>
                </c:pt>
                <c:pt idx="256">
                  <c:v>142266.59803560167</c:v>
                </c:pt>
                <c:pt idx="257">
                  <c:v>142266.59803560167</c:v>
                </c:pt>
                <c:pt idx="258">
                  <c:v>142266.59803560167</c:v>
                </c:pt>
                <c:pt idx="259">
                  <c:v>142266.59803560167</c:v>
                </c:pt>
                <c:pt idx="260">
                  <c:v>142266.59803560167</c:v>
                </c:pt>
                <c:pt idx="261">
                  <c:v>142266.59803560167</c:v>
                </c:pt>
                <c:pt idx="262">
                  <c:v>142266.59803560167</c:v>
                </c:pt>
                <c:pt idx="263">
                  <c:v>142266.59803560167</c:v>
                </c:pt>
                <c:pt idx="264">
                  <c:v>142266.59803560167</c:v>
                </c:pt>
                <c:pt idx="265">
                  <c:v>142266.59803560167</c:v>
                </c:pt>
                <c:pt idx="266">
                  <c:v>142266.59803560167</c:v>
                </c:pt>
                <c:pt idx="267">
                  <c:v>142266.59803560167</c:v>
                </c:pt>
                <c:pt idx="268">
                  <c:v>142266.59803560167</c:v>
                </c:pt>
                <c:pt idx="269">
                  <c:v>142266.59803560167</c:v>
                </c:pt>
                <c:pt idx="270">
                  <c:v>142266.59803560167</c:v>
                </c:pt>
                <c:pt idx="271">
                  <c:v>142266.59803560167</c:v>
                </c:pt>
                <c:pt idx="272">
                  <c:v>142266.59803560167</c:v>
                </c:pt>
                <c:pt idx="273">
                  <c:v>142266.59803560167</c:v>
                </c:pt>
                <c:pt idx="274">
                  <c:v>142266.59803560167</c:v>
                </c:pt>
                <c:pt idx="275">
                  <c:v>142266.59803560167</c:v>
                </c:pt>
                <c:pt idx="276">
                  <c:v>142266.59803560167</c:v>
                </c:pt>
                <c:pt idx="277">
                  <c:v>142266.59803560167</c:v>
                </c:pt>
                <c:pt idx="278">
                  <c:v>142266.59803560167</c:v>
                </c:pt>
                <c:pt idx="279">
                  <c:v>142266.59803560167</c:v>
                </c:pt>
                <c:pt idx="280">
                  <c:v>142266.59803560167</c:v>
                </c:pt>
                <c:pt idx="281">
                  <c:v>142266.59803560167</c:v>
                </c:pt>
                <c:pt idx="282">
                  <c:v>142266.59803560167</c:v>
                </c:pt>
                <c:pt idx="283">
                  <c:v>142266.59803560167</c:v>
                </c:pt>
                <c:pt idx="284">
                  <c:v>142266.59803560167</c:v>
                </c:pt>
                <c:pt idx="285">
                  <c:v>142266.59803560167</c:v>
                </c:pt>
                <c:pt idx="286">
                  <c:v>142266.59803560167</c:v>
                </c:pt>
                <c:pt idx="287">
                  <c:v>142266.59803560167</c:v>
                </c:pt>
                <c:pt idx="288">
                  <c:v>142266.59803560167</c:v>
                </c:pt>
                <c:pt idx="289">
                  <c:v>142266.59803560167</c:v>
                </c:pt>
                <c:pt idx="290">
                  <c:v>142266.59803560167</c:v>
                </c:pt>
                <c:pt idx="291">
                  <c:v>142266.59803560167</c:v>
                </c:pt>
                <c:pt idx="292">
                  <c:v>142266.59803560167</c:v>
                </c:pt>
                <c:pt idx="293">
                  <c:v>142266.59803560167</c:v>
                </c:pt>
                <c:pt idx="294">
                  <c:v>142266.59803560167</c:v>
                </c:pt>
                <c:pt idx="295">
                  <c:v>142266.59803560167</c:v>
                </c:pt>
                <c:pt idx="296">
                  <c:v>142266.59803560167</c:v>
                </c:pt>
                <c:pt idx="297">
                  <c:v>142266.59803560167</c:v>
                </c:pt>
                <c:pt idx="298">
                  <c:v>142266.59803560199</c:v>
                </c:pt>
                <c:pt idx="299">
                  <c:v>142266.59803560199</c:v>
                </c:pt>
                <c:pt idx="300">
                  <c:v>142266.59803560199</c:v>
                </c:pt>
                <c:pt idx="301">
                  <c:v>142266.59803560199</c:v>
                </c:pt>
                <c:pt idx="302">
                  <c:v>142266.59803560199</c:v>
                </c:pt>
                <c:pt idx="303">
                  <c:v>142266.59803560199</c:v>
                </c:pt>
                <c:pt idx="304">
                  <c:v>142266.59803560199</c:v>
                </c:pt>
                <c:pt idx="305">
                  <c:v>142266.59803560199</c:v>
                </c:pt>
                <c:pt idx="306">
                  <c:v>142266.59803560199</c:v>
                </c:pt>
                <c:pt idx="307">
                  <c:v>142266.59803560199</c:v>
                </c:pt>
                <c:pt idx="308">
                  <c:v>142266.59803560199</c:v>
                </c:pt>
                <c:pt idx="309">
                  <c:v>142266.59803560199</c:v>
                </c:pt>
                <c:pt idx="310">
                  <c:v>142266.59803560199</c:v>
                </c:pt>
                <c:pt idx="311">
                  <c:v>142266.59803560199</c:v>
                </c:pt>
                <c:pt idx="312">
                  <c:v>142266.59803560199</c:v>
                </c:pt>
                <c:pt idx="313">
                  <c:v>142266.59803560199</c:v>
                </c:pt>
                <c:pt idx="314">
                  <c:v>142266.59803560199</c:v>
                </c:pt>
                <c:pt idx="315">
                  <c:v>142266.59803560199</c:v>
                </c:pt>
                <c:pt idx="316">
                  <c:v>142266.59803560199</c:v>
                </c:pt>
                <c:pt idx="317">
                  <c:v>142266.59803560199</c:v>
                </c:pt>
                <c:pt idx="318">
                  <c:v>142266.59803560199</c:v>
                </c:pt>
                <c:pt idx="319">
                  <c:v>142266.59803560199</c:v>
                </c:pt>
                <c:pt idx="320">
                  <c:v>142266.59803560199</c:v>
                </c:pt>
                <c:pt idx="321">
                  <c:v>142266.59803560199</c:v>
                </c:pt>
                <c:pt idx="322">
                  <c:v>142266.59803560199</c:v>
                </c:pt>
                <c:pt idx="323">
                  <c:v>142266.59803560199</c:v>
                </c:pt>
                <c:pt idx="324">
                  <c:v>142266.59803560199</c:v>
                </c:pt>
                <c:pt idx="325">
                  <c:v>142266.59803560199</c:v>
                </c:pt>
                <c:pt idx="326">
                  <c:v>142266.59803560199</c:v>
                </c:pt>
                <c:pt idx="327">
                  <c:v>142266.59803560199</c:v>
                </c:pt>
                <c:pt idx="328">
                  <c:v>142266.59803560199</c:v>
                </c:pt>
                <c:pt idx="329">
                  <c:v>142266.59803560199</c:v>
                </c:pt>
                <c:pt idx="330">
                  <c:v>142266.59803560199</c:v>
                </c:pt>
                <c:pt idx="331">
                  <c:v>142266.59803560199</c:v>
                </c:pt>
                <c:pt idx="332">
                  <c:v>142266.59803560199</c:v>
                </c:pt>
                <c:pt idx="333">
                  <c:v>142266.59803560199</c:v>
                </c:pt>
                <c:pt idx="334">
                  <c:v>142266.59803560199</c:v>
                </c:pt>
                <c:pt idx="335">
                  <c:v>142266.59803560199</c:v>
                </c:pt>
                <c:pt idx="336">
                  <c:v>142266.59803560199</c:v>
                </c:pt>
                <c:pt idx="337">
                  <c:v>142266.59803560199</c:v>
                </c:pt>
                <c:pt idx="338">
                  <c:v>142266.59803560199</c:v>
                </c:pt>
                <c:pt idx="339">
                  <c:v>142266.59803560199</c:v>
                </c:pt>
                <c:pt idx="340">
                  <c:v>142266.59803560199</c:v>
                </c:pt>
                <c:pt idx="341">
                  <c:v>142266.59803560199</c:v>
                </c:pt>
                <c:pt idx="342">
                  <c:v>142266.59803560199</c:v>
                </c:pt>
                <c:pt idx="343">
                  <c:v>142266.59803560199</c:v>
                </c:pt>
                <c:pt idx="344">
                  <c:v>142266.59803560199</c:v>
                </c:pt>
                <c:pt idx="345">
                  <c:v>142266.59803560199</c:v>
                </c:pt>
                <c:pt idx="346">
                  <c:v>142266.59803560199</c:v>
                </c:pt>
                <c:pt idx="347">
                  <c:v>142266.59803560199</c:v>
                </c:pt>
                <c:pt idx="348">
                  <c:v>142266.59803560199</c:v>
                </c:pt>
                <c:pt idx="349">
                  <c:v>142266.59803560199</c:v>
                </c:pt>
                <c:pt idx="350">
                  <c:v>142266.59803560199</c:v>
                </c:pt>
                <c:pt idx="351">
                  <c:v>142266.59803560199</c:v>
                </c:pt>
                <c:pt idx="352">
                  <c:v>142266.59803560199</c:v>
                </c:pt>
                <c:pt idx="353">
                  <c:v>142266.59803560199</c:v>
                </c:pt>
                <c:pt idx="354">
                  <c:v>142266.59803560199</c:v>
                </c:pt>
                <c:pt idx="355">
                  <c:v>142266.59803560199</c:v>
                </c:pt>
                <c:pt idx="356">
                  <c:v>142266.59803560199</c:v>
                </c:pt>
                <c:pt idx="357">
                  <c:v>142266.59803560199</c:v>
                </c:pt>
                <c:pt idx="358">
                  <c:v>142266.59803560362</c:v>
                </c:pt>
                <c:pt idx="359">
                  <c:v>142266.59803560362</c:v>
                </c:pt>
                <c:pt idx="360">
                  <c:v>142266.59803560362</c:v>
                </c:pt>
                <c:pt idx="361">
                  <c:v>142266.59803560362</c:v>
                </c:pt>
                <c:pt idx="362">
                  <c:v>142266.59803560362</c:v>
                </c:pt>
                <c:pt idx="363">
                  <c:v>142266.59803560362</c:v>
                </c:pt>
                <c:pt idx="364">
                  <c:v>142266.59803560362</c:v>
                </c:pt>
                <c:pt idx="365">
                  <c:v>142266.59803560362</c:v>
                </c:pt>
                <c:pt idx="366">
                  <c:v>142266.59803560362</c:v>
                </c:pt>
                <c:pt idx="367">
                  <c:v>142266.59803560362</c:v>
                </c:pt>
                <c:pt idx="368">
                  <c:v>142266.59803560362</c:v>
                </c:pt>
                <c:pt idx="369">
                  <c:v>142266.59803560362</c:v>
                </c:pt>
                <c:pt idx="370">
                  <c:v>142266.59803560362</c:v>
                </c:pt>
                <c:pt idx="371">
                  <c:v>142266.59803560362</c:v>
                </c:pt>
                <c:pt idx="372">
                  <c:v>142266.59803560362</c:v>
                </c:pt>
                <c:pt idx="373">
                  <c:v>142266.59803560362</c:v>
                </c:pt>
                <c:pt idx="374">
                  <c:v>142266.59803560362</c:v>
                </c:pt>
                <c:pt idx="375">
                  <c:v>142266.59803560362</c:v>
                </c:pt>
                <c:pt idx="376">
                  <c:v>142266.59803560362</c:v>
                </c:pt>
                <c:pt idx="377">
                  <c:v>142266.59803561613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C6-48EB-8A44-4854A11F3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lang="ja-JP" sz="14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経過年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tickLblSkip val="60"/>
        <c:noMultiLvlLbl val="1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w="4763">
              <a:solidFill>
                <a:srgbClr val="DFE5E8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r>
                  <a:rPr lang="ja-JP" sz="14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円／月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/>
          <a:lstStyle/>
          <a:p>
            <a:r>
              <a:rPr lang="ja-JP">
                <a:latin typeface="Meiryo UI" panose="020B0604030504040204" pitchFamily="50" charset="-128"/>
                <a:ea typeface="Meiryo UI" panose="020B0604030504040204" pitchFamily="50" charset="-128"/>
              </a:rPr>
              <a:t>通常返済の内訳（繰上返済なし）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利息（繰上なし）</c:v>
          </c:tx>
          <c:spPr>
            <a:solidFill>
              <a:srgbClr val="F4A0A0"/>
            </a:solidFill>
            <a:ln w="0">
              <a:solidFill>
                <a:srgbClr val="F4A0A0"/>
              </a:solidFill>
            </a:ln>
          </c:spPr>
          <c:invertIfNegative val="0"/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結果サマリー!$P$6:$P$603</c:f>
              <c:numCache>
                <c:formatCode>#,##0</c:formatCode>
                <c:ptCount val="598"/>
                <c:pt idx="0">
                  <c:v>32375</c:v>
                </c:pt>
                <c:pt idx="1">
                  <c:v>32311.887803469461</c:v>
                </c:pt>
                <c:pt idx="2">
                  <c:v>32248.717228157126</c:v>
                </c:pt>
                <c:pt idx="3">
                  <c:v>32185.488220062631</c:v>
                </c:pt>
                <c:pt idx="4">
                  <c:v>32122.200725135644</c:v>
                </c:pt>
                <c:pt idx="5">
                  <c:v>32058.85468927585</c:v>
                </c:pt>
                <c:pt idx="6">
                  <c:v>31995.450058332892</c:v>
                </c:pt>
                <c:pt idx="7">
                  <c:v>31931.986778106311</c:v>
                </c:pt>
                <c:pt idx="8">
                  <c:v>31868.464794345517</c:v>
                </c:pt>
                <c:pt idx="9">
                  <c:v>31804.884052749741</c:v>
                </c:pt>
                <c:pt idx="10">
                  <c:v>31741.244498967993</c:v>
                </c:pt>
                <c:pt idx="11">
                  <c:v>31677.546078599</c:v>
                </c:pt>
                <c:pt idx="12">
                  <c:v>31613.788737191164</c:v>
                </c:pt>
                <c:pt idx="13">
                  <c:v>31549.972420242528</c:v>
                </c:pt>
                <c:pt idx="14">
                  <c:v>31486.097073200708</c:v>
                </c:pt>
                <c:pt idx="15">
                  <c:v>31422.162641462874</c:v>
                </c:pt>
                <c:pt idx="16">
                  <c:v>31358.169070375679</c:v>
                </c:pt>
                <c:pt idx="17">
                  <c:v>31294.116305235239</c:v>
                </c:pt>
                <c:pt idx="18">
                  <c:v>31230.004291287041</c:v>
                </c:pt>
                <c:pt idx="19">
                  <c:v>31165.832973725945</c:v>
                </c:pt>
                <c:pt idx="20">
                  <c:v>31101.602297696096</c:v>
                </c:pt>
                <c:pt idx="21">
                  <c:v>31037.312208290925</c:v>
                </c:pt>
                <c:pt idx="22">
                  <c:v>30972.96265055305</c:v>
                </c:pt>
                <c:pt idx="23">
                  <c:v>30908.553569474272</c:v>
                </c:pt>
                <c:pt idx="24">
                  <c:v>30844.084909995494</c:v>
                </c:pt>
                <c:pt idx="25">
                  <c:v>30779.5566170067</c:v>
                </c:pt>
                <c:pt idx="26">
                  <c:v>30714.96863534689</c:v>
                </c:pt>
                <c:pt idx="27">
                  <c:v>30650.320909804042</c:v>
                </c:pt>
                <c:pt idx="28">
                  <c:v>30585.61338511507</c:v>
                </c:pt>
                <c:pt idx="29">
                  <c:v>30520.846005965763</c:v>
                </c:pt>
                <c:pt idx="30">
                  <c:v>30456.01871699074</c:v>
                </c:pt>
                <c:pt idx="31">
                  <c:v>30391.131462773414</c:v>
                </c:pt>
                <c:pt idx="32">
                  <c:v>30326.184187845938</c:v>
                </c:pt>
                <c:pt idx="33">
                  <c:v>30130.981683354214</c:v>
                </c:pt>
                <c:pt idx="34">
                  <c:v>30065.793769880776</c:v>
                </c:pt>
                <c:pt idx="35">
                  <c:v>30000.545557587375</c:v>
                </c:pt>
                <c:pt idx="36">
                  <c:v>29935.236990697598</c:v>
                </c:pt>
                <c:pt idx="37">
                  <c:v>29869.868013383457</c:v>
                </c:pt>
                <c:pt idx="38">
                  <c:v>29804.438569765291</c:v>
                </c:pt>
                <c:pt idx="39">
                  <c:v>29738.948603911787</c:v>
                </c:pt>
                <c:pt idx="40">
                  <c:v>29673.398059839863</c:v>
                </c:pt>
                <c:pt idx="41">
                  <c:v>29607.786881514668</c:v>
                </c:pt>
                <c:pt idx="42">
                  <c:v>29542.115012849532</c:v>
                </c:pt>
                <c:pt idx="43">
                  <c:v>29476.382397705875</c:v>
                </c:pt>
                <c:pt idx="44">
                  <c:v>29410.588979893208</c:v>
                </c:pt>
                <c:pt idx="45">
                  <c:v>29344.73470316907</c:v>
                </c:pt>
                <c:pt idx="46">
                  <c:v>29278.819511238962</c:v>
                </c:pt>
                <c:pt idx="47">
                  <c:v>29212.843347756312</c:v>
                </c:pt>
                <c:pt idx="48">
                  <c:v>29146.806156322447</c:v>
                </c:pt>
                <c:pt idx="49">
                  <c:v>29080.707880486501</c:v>
                </c:pt>
                <c:pt idx="50">
                  <c:v>29014.54846374541</c:v>
                </c:pt>
                <c:pt idx="51">
                  <c:v>28948.327849543832</c:v>
                </c:pt>
                <c:pt idx="52">
                  <c:v>28882.045981274117</c:v>
                </c:pt>
                <c:pt idx="53">
                  <c:v>28815.702802276257</c:v>
                </c:pt>
                <c:pt idx="54">
                  <c:v>28749.298255837817</c:v>
                </c:pt>
                <c:pt idx="55">
                  <c:v>28682.832285193927</c:v>
                </c:pt>
                <c:pt idx="56">
                  <c:v>28616.304833527189</c:v>
                </c:pt>
                <c:pt idx="57">
                  <c:v>28549.71584396766</c:v>
                </c:pt>
                <c:pt idx="58">
                  <c:v>64151.047881965751</c:v>
                </c:pt>
                <c:pt idx="59">
                  <c:v>64031.221701394301</c:v>
                </c:pt>
                <c:pt idx="60">
                  <c:v>63911.145882946672</c:v>
                </c:pt>
                <c:pt idx="61">
                  <c:v>63790.81990654394</c:v>
                </c:pt>
                <c:pt idx="62">
                  <c:v>63670.243251023698</c:v>
                </c:pt>
                <c:pt idx="63">
                  <c:v>63549.415394137788</c:v>
                </c:pt>
                <c:pt idx="64">
                  <c:v>63428.335812550038</c:v>
                </c:pt>
                <c:pt idx="65">
                  <c:v>63307.003981833965</c:v>
                </c:pt>
                <c:pt idx="66">
                  <c:v>63185.419376470585</c:v>
                </c:pt>
                <c:pt idx="67">
                  <c:v>63063.581469846024</c:v>
                </c:pt>
                <c:pt idx="68">
                  <c:v>62941.489734249335</c:v>
                </c:pt>
                <c:pt idx="69">
                  <c:v>62819.143640870148</c:v>
                </c:pt>
                <c:pt idx="70">
                  <c:v>62696.542659796425</c:v>
                </c:pt>
                <c:pt idx="71">
                  <c:v>62573.686260012124</c:v>
                </c:pt>
                <c:pt idx="72">
                  <c:v>62450.573909394945</c:v>
                </c:pt>
                <c:pt idx="73">
                  <c:v>62327.20507471398</c:v>
                </c:pt>
                <c:pt idx="74">
                  <c:v>62203.579221627435</c:v>
                </c:pt>
                <c:pt idx="75">
                  <c:v>62079.695814680279</c:v>
                </c:pt>
                <c:pt idx="76">
                  <c:v>61955.554317301991</c:v>
                </c:pt>
                <c:pt idx="77">
                  <c:v>61831.154191804155</c:v>
                </c:pt>
                <c:pt idx="78">
                  <c:v>61706.494899378216</c:v>
                </c:pt>
                <c:pt idx="79">
                  <c:v>61581.575900093048</c:v>
                </c:pt>
                <c:pt idx="80">
                  <c:v>61456.396652892698</c:v>
                </c:pt>
                <c:pt idx="81">
                  <c:v>61330.956615594019</c:v>
                </c:pt>
                <c:pt idx="82">
                  <c:v>61205.255244884298</c:v>
                </c:pt>
                <c:pt idx="83">
                  <c:v>61079.291996318934</c:v>
                </c:pt>
                <c:pt idx="84">
                  <c:v>60953.066324319057</c:v>
                </c:pt>
                <c:pt idx="85">
                  <c:v>60826.577682169183</c:v>
                </c:pt>
                <c:pt idx="86">
                  <c:v>60699.825522014835</c:v>
                </c:pt>
                <c:pt idx="87">
                  <c:v>60572.809294860148</c:v>
                </c:pt>
                <c:pt idx="88">
                  <c:v>60445.528450565565</c:v>
                </c:pt>
                <c:pt idx="89">
                  <c:v>60317.982437845378</c:v>
                </c:pt>
                <c:pt idx="90">
                  <c:v>60190.170704265351</c:v>
                </c:pt>
                <c:pt idx="91">
                  <c:v>60062.092696240368</c:v>
                </c:pt>
                <c:pt idx="92">
                  <c:v>59933.747859031988</c:v>
                </c:pt>
                <c:pt idx="93">
                  <c:v>59805.135636746105</c:v>
                </c:pt>
                <c:pt idx="94">
                  <c:v>59676.255472330457</c:v>
                </c:pt>
                <c:pt idx="95">
                  <c:v>59547.106807572265</c:v>
                </c:pt>
                <c:pt idx="96">
                  <c:v>59417.689083095836</c:v>
                </c:pt>
                <c:pt idx="97">
                  <c:v>59288.001738360072</c:v>
                </c:pt>
                <c:pt idx="98">
                  <c:v>59158.044211656124</c:v>
                </c:pt>
                <c:pt idx="99">
                  <c:v>59027.815940104862</c:v>
                </c:pt>
                <c:pt idx="100">
                  <c:v>58897.316359654535</c:v>
                </c:pt>
                <c:pt idx="101">
                  <c:v>58766.544905078277</c:v>
                </c:pt>
                <c:pt idx="102">
                  <c:v>58635.501009971653</c:v>
                </c:pt>
                <c:pt idx="103">
                  <c:v>58504.184106750217</c:v>
                </c:pt>
                <c:pt idx="104">
                  <c:v>58372.593626647082</c:v>
                </c:pt>
                <c:pt idx="105">
                  <c:v>58240.728999710387</c:v>
                </c:pt>
                <c:pt idx="106">
                  <c:v>58108.589654800911</c:v>
                </c:pt>
                <c:pt idx="107">
                  <c:v>57976.175019589544</c:v>
                </c:pt>
                <c:pt idx="108">
                  <c:v>57843.484520554812</c:v>
                </c:pt>
                <c:pt idx="109">
                  <c:v>57710.517582980428</c:v>
                </c:pt>
                <c:pt idx="110">
                  <c:v>57577.273630952775</c:v>
                </c:pt>
                <c:pt idx="111">
                  <c:v>57443.752087358385</c:v>
                </c:pt>
                <c:pt idx="112">
                  <c:v>57309.952373881504</c:v>
                </c:pt>
                <c:pt idx="113">
                  <c:v>57175.873911001552</c:v>
                </c:pt>
                <c:pt idx="114">
                  <c:v>57041.516117990599</c:v>
                </c:pt>
                <c:pt idx="115">
                  <c:v>56906.878412910883</c:v>
                </c:pt>
                <c:pt idx="116">
                  <c:v>56771.960212612241</c:v>
                </c:pt>
                <c:pt idx="117">
                  <c:v>56636.760932729645</c:v>
                </c:pt>
                <c:pt idx="118">
                  <c:v>67801.535985216746</c:v>
                </c:pt>
                <c:pt idx="119">
                  <c:v>67649.517270568598</c:v>
                </c:pt>
                <c:pt idx="120">
                  <c:v>67497.118509133856</c:v>
                </c:pt>
                <c:pt idx="121">
                  <c:v>67344.338750795505</c:v>
                </c:pt>
                <c:pt idx="122">
                  <c:v>67191.177043061296</c:v>
                </c:pt>
                <c:pt idx="123">
                  <c:v>67037.632431057777</c:v>
                </c:pt>
                <c:pt idx="124">
                  <c:v>66883.703957524223</c:v>
                </c:pt>
                <c:pt idx="125">
                  <c:v>66729.390662806865</c:v>
                </c:pt>
                <c:pt idx="126">
                  <c:v>66574.691584852699</c:v>
                </c:pt>
                <c:pt idx="127">
                  <c:v>66419.605759203652</c:v>
                </c:pt>
                <c:pt idx="128">
                  <c:v>66264.132218990475</c:v>
                </c:pt>
                <c:pt idx="129">
                  <c:v>66108.26999492677</c:v>
                </c:pt>
                <c:pt idx="130">
                  <c:v>65952.018115302897</c:v>
                </c:pt>
                <c:pt idx="131">
                  <c:v>65795.375605979978</c:v>
                </c:pt>
                <c:pt idx="132">
                  <c:v>65638.34149038374</c:v>
                </c:pt>
                <c:pt idx="133">
                  <c:v>65480.914789498514</c:v>
                </c:pt>
                <c:pt idx="134">
                  <c:v>65323.09452186108</c:v>
                </c:pt>
                <c:pt idx="135">
                  <c:v>65164.87970355455</c:v>
                </c:pt>
                <c:pt idx="136">
                  <c:v>65006.269348202251</c:v>
                </c:pt>
                <c:pt idx="137">
                  <c:v>64847.262466961576</c:v>
                </c:pt>
                <c:pt idx="138">
                  <c:v>64687.858068517788</c:v>
                </c:pt>
                <c:pt idx="139">
                  <c:v>64528.0551590779</c:v>
                </c:pt>
                <c:pt idx="140">
                  <c:v>64367.852742364419</c:v>
                </c:pt>
                <c:pt idx="141">
                  <c:v>64207.24981960914</c:v>
                </c:pt>
                <c:pt idx="142">
                  <c:v>64046.245389546988</c:v>
                </c:pt>
                <c:pt idx="143">
                  <c:v>63884.838448409668</c:v>
                </c:pt>
                <c:pt idx="144">
                  <c:v>63723.027989919508</c:v>
                </c:pt>
                <c:pt idx="145">
                  <c:v>63560.813005283126</c:v>
                </c:pt>
                <c:pt idx="146">
                  <c:v>63398.19248318515</c:v>
                </c:pt>
                <c:pt idx="147">
                  <c:v>63235.165409781934</c:v>
                </c:pt>
                <c:pt idx="148">
                  <c:v>63071.730768695204</c:v>
                </c:pt>
                <c:pt idx="149">
                  <c:v>62907.887541005759</c:v>
                </c:pt>
                <c:pt idx="150">
                  <c:v>62743.634705247088</c:v>
                </c:pt>
                <c:pt idx="151">
                  <c:v>62578.971237399011</c:v>
                </c:pt>
                <c:pt idx="152">
                  <c:v>62413.896110881331</c:v>
                </c:pt>
                <c:pt idx="153">
                  <c:v>62248.408296547357</c:v>
                </c:pt>
                <c:pt idx="154">
                  <c:v>62082.506762677542</c:v>
                </c:pt>
                <c:pt idx="155">
                  <c:v>61916.190474973053</c:v>
                </c:pt>
                <c:pt idx="156">
                  <c:v>61749.4583965493</c:v>
                </c:pt>
                <c:pt idx="157">
                  <c:v>61582.309487929488</c:v>
                </c:pt>
                <c:pt idx="158">
                  <c:v>61414.742707038124</c:v>
                </c:pt>
                <c:pt idx="159">
                  <c:v>61246.757009194531</c:v>
                </c:pt>
                <c:pt idx="160">
                  <c:v>61078.351347106334</c:v>
                </c:pt>
                <c:pt idx="161">
                  <c:v>60909.52467086292</c:v>
                </c:pt>
                <c:pt idx="162">
                  <c:v>60740.275927928895</c:v>
                </c:pt>
                <c:pt idx="163">
                  <c:v>60570.604063137529</c:v>
                </c:pt>
                <c:pt idx="164">
                  <c:v>60400.508018684195</c:v>
                </c:pt>
                <c:pt idx="165">
                  <c:v>60229.986734119731</c:v>
                </c:pt>
                <c:pt idx="166">
                  <c:v>60059.039146343835</c:v>
                </c:pt>
                <c:pt idx="167">
                  <c:v>59887.664189598523</c:v>
                </c:pt>
                <c:pt idx="168">
                  <c:v>59715.86079546134</c:v>
                </c:pt>
                <c:pt idx="169">
                  <c:v>59543.627892838813</c:v>
                </c:pt>
                <c:pt idx="170">
                  <c:v>59370.96440795972</c:v>
                </c:pt>
                <c:pt idx="171">
                  <c:v>59197.869264368434</c:v>
                </c:pt>
                <c:pt idx="172">
                  <c:v>59024.341382918174</c:v>
                </c:pt>
                <c:pt idx="173">
                  <c:v>58850.37968176428</c:v>
                </c:pt>
                <c:pt idx="174">
                  <c:v>58675.983076357508</c:v>
                </c:pt>
                <c:pt idx="175">
                  <c:v>58501.150479437209</c:v>
                </c:pt>
                <c:pt idx="176">
                  <c:v>58325.880801024621</c:v>
                </c:pt>
                <c:pt idx="177">
                  <c:v>58150.172948416002</c:v>
                </c:pt>
                <c:pt idx="178">
                  <c:v>77298.701101567814</c:v>
                </c:pt>
                <c:pt idx="179">
                  <c:v>77087.948515093609</c:v>
                </c:pt>
                <c:pt idx="180">
                  <c:v>76876.493419997802</c:v>
                </c:pt>
                <c:pt idx="181">
                  <c:v>76664.333474585015</c:v>
                </c:pt>
                <c:pt idx="182">
                  <c:v>76451.466329354182</c:v>
                </c:pt>
                <c:pt idx="183">
                  <c:v>76237.889626972596</c:v>
                </c:pt>
                <c:pt idx="184">
                  <c:v>76023.601002249721</c:v>
                </c:pt>
                <c:pt idx="185">
                  <c:v>75808.598082111115</c:v>
                </c:pt>
                <c:pt idx="186">
                  <c:v>75592.87848557203</c:v>
                </c:pt>
                <c:pt idx="187">
                  <c:v>75376.43982371116</c:v>
                </c:pt>
                <c:pt idx="188">
                  <c:v>75159.279699644074</c:v>
                </c:pt>
                <c:pt idx="189">
                  <c:v>74941.39570849677</c:v>
                </c:pt>
                <c:pt idx="190">
                  <c:v>74722.785437378989</c:v>
                </c:pt>
                <c:pt idx="191">
                  <c:v>74503.446465357469</c:v>
                </c:pt>
                <c:pt idx="192">
                  <c:v>74283.376363429226</c:v>
                </c:pt>
                <c:pt idx="193">
                  <c:v>74062.572694494549</c:v>
                </c:pt>
                <c:pt idx="194">
                  <c:v>73841.033013330074</c:v>
                </c:pt>
                <c:pt idx="195">
                  <c:v>73618.754866561721</c:v>
                </c:pt>
                <c:pt idx="196">
                  <c:v>73395.735792637497</c:v>
                </c:pt>
                <c:pt idx="197">
                  <c:v>73171.973321800164</c:v>
                </c:pt>
                <c:pt idx="198">
                  <c:v>72947.464976060059</c:v>
                </c:pt>
                <c:pt idx="199">
                  <c:v>72722.208269167473</c:v>
                </c:pt>
                <c:pt idx="200">
                  <c:v>72496.200706585267</c:v>
                </c:pt>
                <c:pt idx="201">
                  <c:v>72269.439785461102</c:v>
                </c:pt>
                <c:pt idx="202">
                  <c:v>72041.922994599867</c:v>
                </c:pt>
                <c:pt idx="203">
                  <c:v>71813.647814435753</c:v>
                </c:pt>
                <c:pt idx="204">
                  <c:v>71584.611717004416</c:v>
                </c:pt>
                <c:pt idx="205">
                  <c:v>71354.812165914991</c:v>
                </c:pt>
                <c:pt idx="206">
                  <c:v>71124.246616321921</c:v>
                </c:pt>
                <c:pt idx="207">
                  <c:v>70892.912514896889</c:v>
                </c:pt>
                <c:pt idx="208">
                  <c:v>70660.807299800435</c:v>
                </c:pt>
                <c:pt idx="209">
                  <c:v>70427.928400653647</c:v>
                </c:pt>
                <c:pt idx="210">
                  <c:v>70194.273238509719</c:v>
                </c:pt>
                <c:pt idx="211">
                  <c:v>69959.839225825315</c:v>
                </c:pt>
                <c:pt idx="212">
                  <c:v>69724.623766431949</c:v>
                </c:pt>
                <c:pt idx="213">
                  <c:v>69488.624255507282</c:v>
                </c:pt>
                <c:pt idx="214">
                  <c:v>69251.838079546185</c:v>
                </c:pt>
                <c:pt idx="215">
                  <c:v>69014.262616331907</c:v>
                </c:pt>
                <c:pt idx="216">
                  <c:v>68775.8952349069</c:v>
                </c:pt>
                <c:pt idx="217">
                  <c:v>68536.733295543803</c:v>
                </c:pt>
                <c:pt idx="218">
                  <c:v>68296.774149716177</c:v>
                </c:pt>
                <c:pt idx="219">
                  <c:v>68056.01514006911</c:v>
                </c:pt>
                <c:pt idx="220">
                  <c:v>67814.453600389897</c:v>
                </c:pt>
                <c:pt idx="221">
                  <c:v>67572.086855578411</c:v>
                </c:pt>
                <c:pt idx="222">
                  <c:v>67328.91222161756</c:v>
                </c:pt>
                <c:pt idx="223">
                  <c:v>67084.927005543504</c:v>
                </c:pt>
                <c:pt idx="224">
                  <c:v>66840.12850541588</c:v>
                </c:pt>
                <c:pt idx="225">
                  <c:v>66594.514010287821</c:v>
                </c:pt>
                <c:pt idx="226">
                  <c:v>66348.080800176002</c:v>
                </c:pt>
                <c:pt idx="227">
                  <c:v>66100.826146030478</c:v>
                </c:pt>
                <c:pt idx="228">
                  <c:v>65852.747309704471</c:v>
                </c:pt>
                <c:pt idx="229">
                  <c:v>65603.84154392402</c:v>
                </c:pt>
                <c:pt idx="230">
                  <c:v>65354.106092257658</c:v>
                </c:pt>
                <c:pt idx="231">
                  <c:v>65103.538189085746</c:v>
                </c:pt>
                <c:pt idx="232">
                  <c:v>64852.135059569926</c:v>
                </c:pt>
                <c:pt idx="233">
                  <c:v>64599.89391962238</c:v>
                </c:pt>
                <c:pt idx="234">
                  <c:v>64346.811975875004</c:v>
                </c:pt>
                <c:pt idx="235">
                  <c:v>64092.886425648467</c:v>
                </c:pt>
                <c:pt idx="236">
                  <c:v>63838.114456921183</c:v>
                </c:pt>
                <c:pt idx="237">
                  <c:v>63582.493248298146</c:v>
                </c:pt>
                <c:pt idx="238">
                  <c:v>79157.524961224626</c:v>
                </c:pt>
                <c:pt idx="239">
                  <c:v>78861.375319416678</c:v>
                </c:pt>
                <c:pt idx="240">
                  <c:v>78563.991720767881</c:v>
                </c:pt>
                <c:pt idx="241">
                  <c:v>78265.369023791383</c:v>
                </c:pt>
                <c:pt idx="242">
                  <c:v>77965.502065577472</c:v>
                </c:pt>
                <c:pt idx="243">
                  <c:v>77664.385661704335</c:v>
                </c:pt>
                <c:pt idx="244">
                  <c:v>77362.014606148383</c:v>
                </c:pt>
                <c:pt idx="245">
                  <c:v>77058.383671194286</c:v>
                </c:pt>
                <c:pt idx="246">
                  <c:v>76753.487607344563</c:v>
                </c:pt>
                <c:pt idx="247">
                  <c:v>76447.321143228779</c:v>
                </c:pt>
                <c:pt idx="248">
                  <c:v>76139.878985512521</c:v>
                </c:pt>
                <c:pt idx="249">
                  <c:v>75831.155818805782</c:v>
                </c:pt>
                <c:pt idx="250">
                  <c:v>75521.146305571092</c:v>
                </c:pt>
                <c:pt idx="251">
                  <c:v>75209.845086031273</c:v>
                </c:pt>
                <c:pt idx="252">
                  <c:v>74897.246778076689</c:v>
                </c:pt>
                <c:pt idx="253">
                  <c:v>74583.345977172299</c:v>
                </c:pt>
                <c:pt idx="254">
                  <c:v>74268.137256264148</c:v>
                </c:pt>
                <c:pt idx="255">
                  <c:v>73951.615165685536</c:v>
                </c:pt>
                <c:pt idx="256">
                  <c:v>73633.774233062853</c:v>
                </c:pt>
                <c:pt idx="257">
                  <c:v>73314.60896322089</c:v>
                </c:pt>
                <c:pt idx="258">
                  <c:v>72994.113838087942</c:v>
                </c:pt>
                <c:pt idx="259">
                  <c:v>72672.283316600267</c:v>
                </c:pt>
                <c:pt idx="260">
                  <c:v>72349.111834606389</c:v>
                </c:pt>
                <c:pt idx="261">
                  <c:v>72024.593804770891</c:v>
                </c:pt>
                <c:pt idx="262">
                  <c:v>71698.723616477713</c:v>
                </c:pt>
                <c:pt idx="263">
                  <c:v>71371.495635733314</c:v>
                </c:pt>
                <c:pt idx="264">
                  <c:v>71042.904205069164</c:v>
                </c:pt>
                <c:pt idx="265">
                  <c:v>70712.943643443912</c:v>
                </c:pt>
                <c:pt idx="266">
                  <c:v>70381.608246145217</c:v>
                </c:pt>
                <c:pt idx="267">
                  <c:v>70048.892284691101</c:v>
                </c:pt>
                <c:pt idx="268">
                  <c:v>69714.790006730938</c:v>
                </c:pt>
                <c:pt idx="269">
                  <c:v>69379.295635945935</c:v>
                </c:pt>
                <c:pt idx="270">
                  <c:v>69042.403371949345</c:v>
                </c:pt>
                <c:pt idx="271">
                  <c:v>68704.107390186095</c:v>
                </c:pt>
                <c:pt idx="272">
                  <c:v>68364.40184183215</c:v>
                </c:pt>
                <c:pt idx="273">
                  <c:v>68023.280853693417</c:v>
                </c:pt>
                <c:pt idx="274">
                  <c:v>67680.738528104092</c:v>
                </c:pt>
                <c:pt idx="275">
                  <c:v>67336.768942824812</c:v>
                </c:pt>
                <c:pt idx="276">
                  <c:v>66991.366150940215</c:v>
                </c:pt>
                <c:pt idx="277">
                  <c:v>66644.524180756081</c:v>
                </c:pt>
                <c:pt idx="278">
                  <c:v>66296.237035696206</c:v>
                </c:pt>
                <c:pt idx="279">
                  <c:v>65946.498694198555</c:v>
                </c:pt>
                <c:pt idx="280">
                  <c:v>65595.303109611341</c:v>
                </c:pt>
                <c:pt idx="281">
                  <c:v>65242.644210088336</c:v>
                </c:pt>
                <c:pt idx="282">
                  <c:v>64888.515898484002</c:v>
                </c:pt>
                <c:pt idx="283">
                  <c:v>64532.912052247972</c:v>
                </c:pt>
                <c:pt idx="284">
                  <c:v>64175.826523319294</c:v>
                </c:pt>
                <c:pt idx="285">
                  <c:v>63817.253138020082</c:v>
                </c:pt>
                <c:pt idx="286">
                  <c:v>63457.185696948785</c:v>
                </c:pt>
                <c:pt idx="287">
                  <c:v>63095.617974873028</c:v>
                </c:pt>
                <c:pt idx="288">
                  <c:v>62732.543720621965</c:v>
                </c:pt>
                <c:pt idx="289">
                  <c:v>62367.956656978175</c:v>
                </c:pt>
                <c:pt idx="290">
                  <c:v>62001.850480569206</c:v>
                </c:pt>
                <c:pt idx="291">
                  <c:v>61634.218861758534</c:v>
                </c:pt>
                <c:pt idx="292">
                  <c:v>61265.055444536149</c:v>
                </c:pt>
                <c:pt idx="293">
                  <c:v>60894.353846408681</c:v>
                </c:pt>
                <c:pt idx="294">
                  <c:v>60522.107658289002</c:v>
                </c:pt>
                <c:pt idx="295">
                  <c:v>60148.310444385505</c:v>
                </c:pt>
                <c:pt idx="296">
                  <c:v>59772.955742090729</c:v>
                </c:pt>
                <c:pt idx="297">
                  <c:v>59396.037061869727</c:v>
                </c:pt>
                <c:pt idx="298">
                  <c:v>59017.547887147812</c:v>
                </c:pt>
                <c:pt idx="299">
                  <c:v>58637.481674197887</c:v>
                </c:pt>
                <c:pt idx="300">
                  <c:v>58255.831852027331</c:v>
                </c:pt>
                <c:pt idx="301">
                  <c:v>57872.591822264403</c:v>
                </c:pt>
                <c:pt idx="302">
                  <c:v>57487.754959044127</c:v>
                </c:pt>
                <c:pt idx="303">
                  <c:v>57101.314608893765</c:v>
                </c:pt>
                <c:pt idx="304">
                  <c:v>56713.264090617777</c:v>
                </c:pt>
                <c:pt idx="305">
                  <c:v>56323.596695182314</c:v>
                </c:pt>
                <c:pt idx="306">
                  <c:v>55932.305685599196</c:v>
                </c:pt>
                <c:pt idx="307">
                  <c:v>55539.384296809476</c:v>
                </c:pt>
                <c:pt idx="308">
                  <c:v>55144.825735566475</c:v>
                </c:pt>
                <c:pt idx="309">
                  <c:v>54748.623180318282</c:v>
                </c:pt>
                <c:pt idx="310">
                  <c:v>54350.769781089904</c:v>
                </c:pt>
                <c:pt idx="311">
                  <c:v>53951.258659364736</c:v>
                </c:pt>
                <c:pt idx="312">
                  <c:v>53550.08290796572</c:v>
                </c:pt>
                <c:pt idx="313">
                  <c:v>53147.235590935859</c:v>
                </c:pt>
                <c:pt idx="314">
                  <c:v>52742.709743418382</c:v>
                </c:pt>
                <c:pt idx="315">
                  <c:v>52336.49837153624</c:v>
                </c:pt>
                <c:pt idx="316">
                  <c:v>51928.594452271267</c:v>
                </c:pt>
                <c:pt idx="317">
                  <c:v>51518.990933342684</c:v>
                </c:pt>
                <c:pt idx="318">
                  <c:v>51107.680733085232</c:v>
                </c:pt>
                <c:pt idx="319">
                  <c:v>50694.656740326704</c:v>
                </c:pt>
                <c:pt idx="320">
                  <c:v>50279.911814265019</c:v>
                </c:pt>
                <c:pt idx="321">
                  <c:v>49863.438784344755</c:v>
                </c:pt>
                <c:pt idx="322">
                  <c:v>49445.230450133145</c:v>
                </c:pt>
                <c:pt idx="323">
                  <c:v>49025.279581195653</c:v>
                </c:pt>
                <c:pt idx="324">
                  <c:v>48603.578916970924</c:v>
                </c:pt>
                <c:pt idx="325">
                  <c:v>48180.121166645258</c:v>
                </c:pt>
                <c:pt idx="326">
                  <c:v>47754.899009026565</c:v>
                </c:pt>
                <c:pt idx="327">
                  <c:v>47327.905092417794</c:v>
                </c:pt>
                <c:pt idx="328">
                  <c:v>46899.132034489834</c:v>
                </c:pt>
                <c:pt idx="329">
                  <c:v>46468.572422153833</c:v>
                </c:pt>
                <c:pt idx="330">
                  <c:v>46036.218811433093</c:v>
                </c:pt>
                <c:pt idx="331">
                  <c:v>45602.063727334353</c:v>
                </c:pt>
                <c:pt idx="332">
                  <c:v>45166.099663718538</c:v>
                </c:pt>
                <c:pt idx="333">
                  <c:v>44728.319083170987</c:v>
                </c:pt>
                <c:pt idx="334">
                  <c:v>44288.714416871146</c:v>
                </c:pt>
                <c:pt idx="335">
                  <c:v>43847.278064461738</c:v>
                </c:pt>
                <c:pt idx="336">
                  <c:v>43404.002393917282</c:v>
                </c:pt>
                <c:pt idx="337">
                  <c:v>42958.879741412224</c:v>
                </c:pt>
                <c:pt idx="338">
                  <c:v>42511.902411188399</c:v>
                </c:pt>
                <c:pt idx="339">
                  <c:v>42063.062675421977</c:v>
                </c:pt>
                <c:pt idx="340">
                  <c:v>41612.352774089857</c:v>
                </c:pt>
                <c:pt idx="341">
                  <c:v>41159.764914835519</c:v>
                </c:pt>
                <c:pt idx="342">
                  <c:v>40705.291272834285</c:v>
                </c:pt>
                <c:pt idx="343">
                  <c:v>40248.923990658055</c:v>
                </c:pt>
                <c:pt idx="344">
                  <c:v>39790.655178139416</c:v>
                </c:pt>
                <c:pt idx="345">
                  <c:v>39330.476912235281</c:v>
                </c:pt>
                <c:pt idx="346">
                  <c:v>38868.381236889887</c:v>
                </c:pt>
                <c:pt idx="347">
                  <c:v>38404.360162897225</c:v>
                </c:pt>
                <c:pt idx="348">
                  <c:v>37938.40566776292</c:v>
                </c:pt>
                <c:pt idx="349">
                  <c:v>37470.509695565554</c:v>
                </c:pt>
                <c:pt idx="350">
                  <c:v>37000.664156817365</c:v>
                </c:pt>
                <c:pt idx="351">
                  <c:v>36528.860928324393</c:v>
                </c:pt>
                <c:pt idx="352">
                  <c:v>36055.09185304604</c:v>
                </c:pt>
                <c:pt idx="353">
                  <c:v>35579.348739954017</c:v>
                </c:pt>
                <c:pt idx="354">
                  <c:v>35101.62336389078</c:v>
                </c:pt>
                <c:pt idx="355">
                  <c:v>34621.907465427277</c:v>
                </c:pt>
                <c:pt idx="356">
                  <c:v>34140.192750720184</c:v>
                </c:pt>
                <c:pt idx="357">
                  <c:v>33656.470891368481</c:v>
                </c:pt>
                <c:pt idx="358">
                  <c:v>33170.733524269468</c:v>
                </c:pt>
                <c:pt idx="359">
                  <c:v>32682.972251474213</c:v>
                </c:pt>
                <c:pt idx="360">
                  <c:v>32193.178640042304</c:v>
                </c:pt>
                <c:pt idx="361">
                  <c:v>31701.344221896103</c:v>
                </c:pt>
                <c:pt idx="362">
                  <c:v>31207.460493674287</c:v>
                </c:pt>
                <c:pt idx="363">
                  <c:v>30711.518916584886</c:v>
                </c:pt>
                <c:pt idx="364">
                  <c:v>30213.510916257608</c:v>
                </c:pt>
                <c:pt idx="365">
                  <c:v>29713.427882595632</c:v>
                </c:pt>
                <c:pt idx="366">
                  <c:v>29211.261169626738</c:v>
                </c:pt>
                <c:pt idx="367">
                  <c:v>28707.002095353801</c:v>
                </c:pt>
                <c:pt idx="368">
                  <c:v>28200.641941604728</c:v>
                </c:pt>
                <c:pt idx="369">
                  <c:v>27692.171953881701</c:v>
                </c:pt>
                <c:pt idx="370">
                  <c:v>27181.583341209829</c:v>
                </c:pt>
                <c:pt idx="371">
                  <c:v>26668.867275985158</c:v>
                </c:pt>
                <c:pt idx="372">
                  <c:v>26154.014893822048</c:v>
                </c:pt>
                <c:pt idx="373">
                  <c:v>25637.017293399927</c:v>
                </c:pt>
                <c:pt idx="374">
                  <c:v>25117.865536309382</c:v>
                </c:pt>
                <c:pt idx="375">
                  <c:v>24596.550646897624</c:v>
                </c:pt>
                <c:pt idx="376">
                  <c:v>24073.063612113314</c:v>
                </c:pt>
                <c:pt idx="377">
                  <c:v>23547.395381350743</c:v>
                </c:pt>
                <c:pt idx="378">
                  <c:v>23019.536866293322</c:v>
                </c:pt>
                <c:pt idx="379">
                  <c:v>22489.4789407565</c:v>
                </c:pt>
                <c:pt idx="380">
                  <c:v>21957.21244052994</c:v>
                </c:pt>
                <c:pt idx="381">
                  <c:v>21422.728163219101</c:v>
                </c:pt>
                <c:pt idx="382">
                  <c:v>20886.016868086135</c:v>
                </c:pt>
                <c:pt idx="383">
                  <c:v>20347.069275890113</c:v>
                </c:pt>
                <c:pt idx="384">
                  <c:v>19805.876068726608</c:v>
                </c:pt>
                <c:pt idx="385">
                  <c:v>19262.427889866591</c:v>
                </c:pt>
                <c:pt idx="386">
                  <c:v>18716.715343594657</c:v>
                </c:pt>
                <c:pt idx="387">
                  <c:v>18168.728995046589</c:v>
                </c:pt>
                <c:pt idx="388">
                  <c:v>17618.459370046232</c:v>
                </c:pt>
                <c:pt idx="389">
                  <c:v>17065.896954941712</c:v>
                </c:pt>
                <c:pt idx="390">
                  <c:v>16511.032196440923</c:v>
                </c:pt>
                <c:pt idx="391">
                  <c:v>15953.85550144638</c:v>
                </c:pt>
                <c:pt idx="392">
                  <c:v>15394.35723688936</c:v>
                </c:pt>
                <c:pt idx="393">
                  <c:v>14832.527729563355</c:v>
                </c:pt>
                <c:pt idx="394">
                  <c:v>14268.357265956822</c:v>
                </c:pt>
                <c:pt idx="395">
                  <c:v>13701.836092085259</c:v>
                </c:pt>
                <c:pt idx="396">
                  <c:v>13132.954413322566</c:v>
                </c:pt>
                <c:pt idx="397">
                  <c:v>12561.702394231697</c:v>
                </c:pt>
                <c:pt idx="398">
                  <c:v>11988.070158394616</c:v>
                </c:pt>
                <c:pt idx="399">
                  <c:v>11412.047788241545</c:v>
                </c:pt>
                <c:pt idx="400">
                  <c:v>10833.625324879506</c:v>
                </c:pt>
                <c:pt idx="401">
                  <c:v>10252.792767920124</c:v>
                </c:pt>
                <c:pt idx="402">
                  <c:v>9669.5400753067443</c:v>
                </c:pt>
                <c:pt idx="403">
                  <c:v>9083.8571631408086</c:v>
                </c:pt>
                <c:pt idx="404">
                  <c:v>8495.7339055075154</c:v>
                </c:pt>
                <c:pt idx="405">
                  <c:v>7905.1601343007496</c:v>
                </c:pt>
                <c:pt idx="406">
                  <c:v>7312.125639047289</c:v>
                </c:pt>
                <c:pt idx="407">
                  <c:v>6716.6201667302712</c:v>
                </c:pt>
                <c:pt idx="408">
                  <c:v>6118.6334216119349</c:v>
                </c:pt>
                <c:pt idx="409">
                  <c:v>5518.1550650556046</c:v>
                </c:pt>
                <c:pt idx="410">
                  <c:v>4915.174715346956</c:v>
                </c:pt>
                <c:pt idx="411">
                  <c:v>4309.6819475145212</c:v>
                </c:pt>
                <c:pt idx="412">
                  <c:v>3701.6662931494516</c:v>
                </c:pt>
                <c:pt idx="413">
                  <c:v>3091.1172402245279</c:v>
                </c:pt>
                <c:pt idx="414">
                  <c:v>2478.0242329124162</c:v>
                </c:pt>
                <c:pt idx="415">
                  <c:v>1862.376671403171</c:v>
                </c:pt>
                <c:pt idx="416">
                  <c:v>1244.1639117209709</c:v>
                </c:pt>
                <c:pt idx="417">
                  <c:v>623.3752655400948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C-4C79-A52D-338525FC46F8}"/>
            </c:ext>
          </c:extLst>
        </c:ser>
        <c:ser>
          <c:idx val="1"/>
          <c:order val="1"/>
          <c:tx>
            <c:v>元金（繰上なし）</c:v>
          </c:tx>
          <c:spPr>
            <a:solidFill>
              <a:srgbClr val="B8CDEF"/>
            </a:solidFill>
            <a:ln w="0">
              <a:solidFill>
                <a:srgbClr val="B8CDEF"/>
              </a:solidFill>
            </a:ln>
          </c:spPr>
          <c:invertIfNegative val="0"/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結果サマリー!$Q$6:$Q$603</c:f>
              <c:numCache>
                <c:formatCode>#,##0</c:formatCode>
                <c:ptCount val="598"/>
                <c:pt idx="0">
                  <c:v>68229.401654639601</c:v>
                </c:pt>
                <c:pt idx="1">
                  <c:v>68292.513851170137</c:v>
                </c:pt>
                <c:pt idx="2">
                  <c:v>68355.684426482476</c:v>
                </c:pt>
                <c:pt idx="3">
                  <c:v>68418.913434576971</c:v>
                </c:pt>
                <c:pt idx="4">
                  <c:v>68482.200929503961</c:v>
                </c:pt>
                <c:pt idx="5">
                  <c:v>68545.546965363756</c:v>
                </c:pt>
                <c:pt idx="6">
                  <c:v>68608.95159630671</c:v>
                </c:pt>
                <c:pt idx="7">
                  <c:v>68672.414876533294</c:v>
                </c:pt>
                <c:pt idx="8">
                  <c:v>68735.936860294081</c:v>
                </c:pt>
                <c:pt idx="9">
                  <c:v>68799.517601889864</c:v>
                </c:pt>
                <c:pt idx="10">
                  <c:v>68863.157155671608</c:v>
                </c:pt>
                <c:pt idx="11">
                  <c:v>68926.855576040602</c:v>
                </c:pt>
                <c:pt idx="12">
                  <c:v>68990.612917448438</c:v>
                </c:pt>
                <c:pt idx="13">
                  <c:v>69054.429234397074</c:v>
                </c:pt>
                <c:pt idx="14">
                  <c:v>69118.30458143889</c:v>
                </c:pt>
                <c:pt idx="15">
                  <c:v>69182.239013176732</c:v>
                </c:pt>
                <c:pt idx="16">
                  <c:v>69246.232584263926</c:v>
                </c:pt>
                <c:pt idx="17">
                  <c:v>69310.285349404367</c:v>
                </c:pt>
                <c:pt idx="18">
                  <c:v>69374.39736335256</c:v>
                </c:pt>
                <c:pt idx="19">
                  <c:v>69438.568680913653</c:v>
                </c:pt>
                <c:pt idx="20">
                  <c:v>69502.799356943506</c:v>
                </c:pt>
                <c:pt idx="21">
                  <c:v>69567.089446348677</c:v>
                </c:pt>
                <c:pt idx="22">
                  <c:v>69631.439004086555</c:v>
                </c:pt>
                <c:pt idx="23">
                  <c:v>69695.848085165329</c:v>
                </c:pt>
                <c:pt idx="24">
                  <c:v>69760.316744644108</c:v>
                </c:pt>
                <c:pt idx="25">
                  <c:v>69824.845037632898</c:v>
                </c:pt>
                <c:pt idx="26">
                  <c:v>69889.433019292715</c:v>
                </c:pt>
                <c:pt idx="27">
                  <c:v>69954.080744835563</c:v>
                </c:pt>
                <c:pt idx="28">
                  <c:v>70018.788269524535</c:v>
                </c:pt>
                <c:pt idx="29">
                  <c:v>70083.555648673835</c:v>
                </c:pt>
                <c:pt idx="30">
                  <c:v>70148.382937648857</c:v>
                </c:pt>
                <c:pt idx="31">
                  <c:v>70213.270191866191</c:v>
                </c:pt>
                <c:pt idx="32">
                  <c:v>70278.217466793663</c:v>
                </c:pt>
                <c:pt idx="33">
                  <c:v>70473.419971285388</c:v>
                </c:pt>
                <c:pt idx="34">
                  <c:v>70538.607884758821</c:v>
                </c:pt>
                <c:pt idx="35">
                  <c:v>70603.856097052223</c:v>
                </c:pt>
                <c:pt idx="36">
                  <c:v>70669.164663942007</c:v>
                </c:pt>
                <c:pt idx="37">
                  <c:v>70734.533641256145</c:v>
                </c:pt>
                <c:pt idx="38">
                  <c:v>70799.963084874311</c:v>
                </c:pt>
                <c:pt idx="39">
                  <c:v>70865.45305072781</c:v>
                </c:pt>
                <c:pt idx="40">
                  <c:v>70931.003594799738</c:v>
                </c:pt>
                <c:pt idx="41">
                  <c:v>70996.614773124937</c:v>
                </c:pt>
                <c:pt idx="42">
                  <c:v>71062.286641790066</c:v>
                </c:pt>
                <c:pt idx="43">
                  <c:v>71128.019256933723</c:v>
                </c:pt>
                <c:pt idx="44">
                  <c:v>71193.812674746398</c:v>
                </c:pt>
                <c:pt idx="45">
                  <c:v>71259.666951470528</c:v>
                </c:pt>
                <c:pt idx="46">
                  <c:v>71325.582143400636</c:v>
                </c:pt>
                <c:pt idx="47">
                  <c:v>71391.558306883293</c:v>
                </c:pt>
                <c:pt idx="48">
                  <c:v>71457.595498317154</c:v>
                </c:pt>
                <c:pt idx="49">
                  <c:v>71523.6937741531</c:v>
                </c:pt>
                <c:pt idx="50">
                  <c:v>71589.853190894195</c:v>
                </c:pt>
                <c:pt idx="51">
                  <c:v>71656.073805095773</c:v>
                </c:pt>
                <c:pt idx="52">
                  <c:v>71722.355673365484</c:v>
                </c:pt>
                <c:pt idx="53">
                  <c:v>71788.698852363348</c:v>
                </c:pt>
                <c:pt idx="54">
                  <c:v>71855.103398801788</c:v>
                </c:pt>
                <c:pt idx="55">
                  <c:v>71921.569369445671</c:v>
                </c:pt>
                <c:pt idx="56">
                  <c:v>71988.096821112413</c:v>
                </c:pt>
                <c:pt idx="57">
                  <c:v>72054.685810671945</c:v>
                </c:pt>
                <c:pt idx="58">
                  <c:v>57516.566674293288</c:v>
                </c:pt>
                <c:pt idx="59">
                  <c:v>57636.392854864738</c:v>
                </c:pt>
                <c:pt idx="60">
                  <c:v>57756.468673312367</c:v>
                </c:pt>
                <c:pt idx="61">
                  <c:v>57876.794649715099</c:v>
                </c:pt>
                <c:pt idx="62">
                  <c:v>57997.371305235341</c:v>
                </c:pt>
                <c:pt idx="63">
                  <c:v>58118.199162121251</c:v>
                </c:pt>
                <c:pt idx="64">
                  <c:v>58239.278743709001</c:v>
                </c:pt>
                <c:pt idx="65">
                  <c:v>58360.610574425074</c:v>
                </c:pt>
                <c:pt idx="66">
                  <c:v>58482.195179788454</c:v>
                </c:pt>
                <c:pt idx="67">
                  <c:v>58604.033086413016</c:v>
                </c:pt>
                <c:pt idx="68">
                  <c:v>58726.124822009704</c:v>
                </c:pt>
                <c:pt idx="69">
                  <c:v>58848.470915388891</c:v>
                </c:pt>
                <c:pt idx="70">
                  <c:v>58971.071896462614</c:v>
                </c:pt>
                <c:pt idx="71">
                  <c:v>59093.928296246915</c:v>
                </c:pt>
                <c:pt idx="72">
                  <c:v>59217.040646864094</c:v>
                </c:pt>
                <c:pt idx="73">
                  <c:v>59340.409481545059</c:v>
                </c:pt>
                <c:pt idx="74">
                  <c:v>59464.035334631604</c:v>
                </c:pt>
                <c:pt idx="75">
                  <c:v>59587.91874157876</c:v>
                </c:pt>
                <c:pt idx="76">
                  <c:v>59712.060238957049</c:v>
                </c:pt>
                <c:pt idx="77">
                  <c:v>59836.460364454884</c:v>
                </c:pt>
                <c:pt idx="78">
                  <c:v>59961.119656880823</c:v>
                </c:pt>
                <c:pt idx="79">
                  <c:v>60086.038656165991</c:v>
                </c:pt>
                <c:pt idx="80">
                  <c:v>60211.217903366341</c:v>
                </c:pt>
                <c:pt idx="81">
                  <c:v>60336.65794066502</c:v>
                </c:pt>
                <c:pt idx="82">
                  <c:v>60462.359311374741</c:v>
                </c:pt>
                <c:pt idx="83">
                  <c:v>60588.322559940105</c:v>
                </c:pt>
                <c:pt idx="84">
                  <c:v>60714.548231939982</c:v>
                </c:pt>
                <c:pt idx="85">
                  <c:v>60841.036874089856</c:v>
                </c:pt>
                <c:pt idx="86">
                  <c:v>60967.789034244204</c:v>
                </c:pt>
                <c:pt idx="87">
                  <c:v>61094.805261398891</c:v>
                </c:pt>
                <c:pt idx="88">
                  <c:v>61222.086105693474</c:v>
                </c:pt>
                <c:pt idx="89">
                  <c:v>61349.632118413661</c:v>
                </c:pt>
                <c:pt idx="90">
                  <c:v>61477.443851993688</c:v>
                </c:pt>
                <c:pt idx="91">
                  <c:v>61605.521860018671</c:v>
                </c:pt>
                <c:pt idx="92">
                  <c:v>61733.866697227051</c:v>
                </c:pt>
                <c:pt idx="93">
                  <c:v>61862.478919512934</c:v>
                </c:pt>
                <c:pt idx="94">
                  <c:v>61991.359083928583</c:v>
                </c:pt>
                <c:pt idx="95">
                  <c:v>62120.507748686774</c:v>
                </c:pt>
                <c:pt idx="96">
                  <c:v>62249.925473163203</c:v>
                </c:pt>
                <c:pt idx="97">
                  <c:v>62379.612817898967</c:v>
                </c:pt>
                <c:pt idx="98">
                  <c:v>62509.570344602915</c:v>
                </c:pt>
                <c:pt idx="99">
                  <c:v>62639.798616154178</c:v>
                </c:pt>
                <c:pt idx="100">
                  <c:v>62770.298196604504</c:v>
                </c:pt>
                <c:pt idx="101">
                  <c:v>62901.069651180762</c:v>
                </c:pt>
                <c:pt idx="102">
                  <c:v>63032.113546287386</c:v>
                </c:pt>
                <c:pt idx="103">
                  <c:v>63163.430449508822</c:v>
                </c:pt>
                <c:pt idx="104">
                  <c:v>63295.020929611957</c:v>
                </c:pt>
                <c:pt idx="105">
                  <c:v>63426.885556548652</c:v>
                </c:pt>
                <c:pt idx="106">
                  <c:v>63559.024901458128</c:v>
                </c:pt>
                <c:pt idx="107">
                  <c:v>63691.439536669495</c:v>
                </c:pt>
                <c:pt idx="108">
                  <c:v>63824.130035704227</c:v>
                </c:pt>
                <c:pt idx="109">
                  <c:v>63957.096973278611</c:v>
                </c:pt>
                <c:pt idx="110">
                  <c:v>64090.340925306264</c:v>
                </c:pt>
                <c:pt idx="111">
                  <c:v>64223.862468900654</c:v>
                </c:pt>
                <c:pt idx="112">
                  <c:v>64357.662182377535</c:v>
                </c:pt>
                <c:pt idx="113">
                  <c:v>64491.740645257487</c:v>
                </c:pt>
                <c:pt idx="114">
                  <c:v>64626.09843826844</c:v>
                </c:pt>
                <c:pt idx="115">
                  <c:v>64760.736143348156</c:v>
                </c:pt>
                <c:pt idx="116">
                  <c:v>64895.654343646798</c:v>
                </c:pt>
                <c:pt idx="117">
                  <c:v>65030.853623529394</c:v>
                </c:pt>
                <c:pt idx="118">
                  <c:v>60807.485859256558</c:v>
                </c:pt>
                <c:pt idx="119">
                  <c:v>60959.504573904705</c:v>
                </c:pt>
                <c:pt idx="120">
                  <c:v>61111.903335339448</c:v>
                </c:pt>
                <c:pt idx="121">
                  <c:v>61264.683093677799</c:v>
                </c:pt>
                <c:pt idx="122">
                  <c:v>61417.844801412008</c:v>
                </c:pt>
                <c:pt idx="123">
                  <c:v>61571.389413415527</c:v>
                </c:pt>
                <c:pt idx="124">
                  <c:v>61725.31788694908</c:v>
                </c:pt>
                <c:pt idx="125">
                  <c:v>61879.631181666438</c:v>
                </c:pt>
                <c:pt idx="126">
                  <c:v>62034.330259620605</c:v>
                </c:pt>
                <c:pt idx="127">
                  <c:v>62189.416085269651</c:v>
                </c:pt>
                <c:pt idx="128">
                  <c:v>62344.889625482829</c:v>
                </c:pt>
                <c:pt idx="129">
                  <c:v>62500.751849546534</c:v>
                </c:pt>
                <c:pt idx="130">
                  <c:v>62657.003729170407</c:v>
                </c:pt>
                <c:pt idx="131">
                  <c:v>62813.646238493326</c:v>
                </c:pt>
                <c:pt idx="132">
                  <c:v>62970.680354089563</c:v>
                </c:pt>
                <c:pt idx="133">
                  <c:v>63128.107054974789</c:v>
                </c:pt>
                <c:pt idx="134">
                  <c:v>63285.927322612224</c:v>
                </c:pt>
                <c:pt idx="135">
                  <c:v>63444.142140918753</c:v>
                </c:pt>
                <c:pt idx="136">
                  <c:v>63602.752496271052</c:v>
                </c:pt>
                <c:pt idx="137">
                  <c:v>63761.759377511728</c:v>
                </c:pt>
                <c:pt idx="138">
                  <c:v>63921.163775955516</c:v>
                </c:pt>
                <c:pt idx="139">
                  <c:v>64080.966685395404</c:v>
                </c:pt>
                <c:pt idx="140">
                  <c:v>64241.169102108885</c:v>
                </c:pt>
                <c:pt idx="141">
                  <c:v>64401.772024864164</c:v>
                </c:pt>
                <c:pt idx="142">
                  <c:v>64562.776454926316</c:v>
                </c:pt>
                <c:pt idx="143">
                  <c:v>64724.183396063636</c:v>
                </c:pt>
                <c:pt idx="144">
                  <c:v>64885.993854553795</c:v>
                </c:pt>
                <c:pt idx="145">
                  <c:v>65048.208839190178</c:v>
                </c:pt>
                <c:pt idx="146">
                  <c:v>65210.829361288153</c:v>
                </c:pt>
                <c:pt idx="147">
                  <c:v>65373.85643469137</c:v>
                </c:pt>
                <c:pt idx="148">
                  <c:v>65537.291075778106</c:v>
                </c:pt>
                <c:pt idx="149">
                  <c:v>65701.134303467552</c:v>
                </c:pt>
                <c:pt idx="150">
                  <c:v>65865.387139226223</c:v>
                </c:pt>
                <c:pt idx="151">
                  <c:v>66030.050607074285</c:v>
                </c:pt>
                <c:pt idx="152">
                  <c:v>66195.125733591965</c:v>
                </c:pt>
                <c:pt idx="153">
                  <c:v>66360.613547925954</c:v>
                </c:pt>
                <c:pt idx="154">
                  <c:v>66526.515081795762</c:v>
                </c:pt>
                <c:pt idx="155">
                  <c:v>66692.831369500258</c:v>
                </c:pt>
                <c:pt idx="156">
                  <c:v>66859.563447924011</c:v>
                </c:pt>
                <c:pt idx="157">
                  <c:v>67026.712356543809</c:v>
                </c:pt>
                <c:pt idx="158">
                  <c:v>67194.27913743518</c:v>
                </c:pt>
                <c:pt idx="159">
                  <c:v>67362.264835278766</c:v>
                </c:pt>
                <c:pt idx="160">
                  <c:v>67530.670497366969</c:v>
                </c:pt>
                <c:pt idx="161">
                  <c:v>67699.497173610376</c:v>
                </c:pt>
                <c:pt idx="162">
                  <c:v>67868.745916544402</c:v>
                </c:pt>
                <c:pt idx="163">
                  <c:v>68038.417781335767</c:v>
                </c:pt>
                <c:pt idx="164">
                  <c:v>68208.513825789109</c:v>
                </c:pt>
                <c:pt idx="165">
                  <c:v>68379.03511035358</c:v>
                </c:pt>
                <c:pt idx="166">
                  <c:v>68549.982698129461</c:v>
                </c:pt>
                <c:pt idx="167">
                  <c:v>68721.357654874781</c:v>
                </c:pt>
                <c:pt idx="168">
                  <c:v>68893.161049011964</c:v>
                </c:pt>
                <c:pt idx="169">
                  <c:v>69065.393951634498</c:v>
                </c:pt>
                <c:pt idx="170">
                  <c:v>69238.057436513584</c:v>
                </c:pt>
                <c:pt idx="171">
                  <c:v>69411.15258010487</c:v>
                </c:pt>
                <c:pt idx="172">
                  <c:v>69584.680461555137</c:v>
                </c:pt>
                <c:pt idx="173">
                  <c:v>69758.642162709031</c:v>
                </c:pt>
                <c:pt idx="174">
                  <c:v>69933.038768115803</c:v>
                </c:pt>
                <c:pt idx="175">
                  <c:v>70107.871365036088</c:v>
                </c:pt>
                <c:pt idx="176">
                  <c:v>70283.141043448675</c:v>
                </c:pt>
                <c:pt idx="177">
                  <c:v>70458.848896057301</c:v>
                </c:pt>
                <c:pt idx="178">
                  <c:v>63225.775942265944</c:v>
                </c:pt>
                <c:pt idx="179">
                  <c:v>63436.528528740149</c:v>
                </c:pt>
                <c:pt idx="180">
                  <c:v>63647.983623835957</c:v>
                </c:pt>
                <c:pt idx="181">
                  <c:v>63860.143569248743</c:v>
                </c:pt>
                <c:pt idx="182">
                  <c:v>64073.010714479577</c:v>
                </c:pt>
                <c:pt idx="183">
                  <c:v>64286.587416861163</c:v>
                </c:pt>
                <c:pt idx="184">
                  <c:v>64500.876041584037</c:v>
                </c:pt>
                <c:pt idx="185">
                  <c:v>64715.878961722643</c:v>
                </c:pt>
                <c:pt idx="186">
                  <c:v>64931.598558261729</c:v>
                </c:pt>
                <c:pt idx="187">
                  <c:v>65148.037220122598</c:v>
                </c:pt>
                <c:pt idx="188">
                  <c:v>65365.197344189684</c:v>
                </c:pt>
                <c:pt idx="189">
                  <c:v>65583.081335336989</c:v>
                </c:pt>
                <c:pt idx="190">
                  <c:v>65801.691606454769</c:v>
                </c:pt>
                <c:pt idx="191">
                  <c:v>66021.03057847629</c:v>
                </c:pt>
                <c:pt idx="192">
                  <c:v>66241.100680404532</c:v>
                </c:pt>
                <c:pt idx="193">
                  <c:v>66461.904349339209</c:v>
                </c:pt>
                <c:pt idx="194">
                  <c:v>66683.444030503684</c:v>
                </c:pt>
                <c:pt idx="195">
                  <c:v>66905.722177272037</c:v>
                </c:pt>
                <c:pt idx="196">
                  <c:v>67128.741251196261</c:v>
                </c:pt>
                <c:pt idx="197">
                  <c:v>67352.503722033594</c:v>
                </c:pt>
                <c:pt idx="198">
                  <c:v>67577.0120677737</c:v>
                </c:pt>
                <c:pt idx="199">
                  <c:v>67802.268774666285</c:v>
                </c:pt>
                <c:pt idx="200">
                  <c:v>68028.276337248491</c:v>
                </c:pt>
                <c:pt idx="201">
                  <c:v>68255.037258372657</c:v>
                </c:pt>
                <c:pt idx="202">
                  <c:v>68482.554049233891</c:v>
                </c:pt>
                <c:pt idx="203">
                  <c:v>68710.829229398005</c:v>
                </c:pt>
                <c:pt idx="204">
                  <c:v>68939.865326829342</c:v>
                </c:pt>
                <c:pt idx="205">
                  <c:v>69169.664877918767</c:v>
                </c:pt>
                <c:pt idx="206">
                  <c:v>69400.230427511837</c:v>
                </c:pt>
                <c:pt idx="207">
                  <c:v>69631.564528936869</c:v>
                </c:pt>
                <c:pt idx="208">
                  <c:v>69863.669744033323</c:v>
                </c:pt>
                <c:pt idx="209">
                  <c:v>70096.548643180111</c:v>
                </c:pt>
                <c:pt idx="210">
                  <c:v>70330.203805324039</c:v>
                </c:pt>
                <c:pt idx="211">
                  <c:v>70564.637818008443</c:v>
                </c:pt>
                <c:pt idx="212">
                  <c:v>70799.853277401809</c:v>
                </c:pt>
                <c:pt idx="213">
                  <c:v>71035.852788326476</c:v>
                </c:pt>
                <c:pt idx="214">
                  <c:v>71272.638964287573</c:v>
                </c:pt>
                <c:pt idx="215">
                  <c:v>71510.214427501851</c:v>
                </c:pt>
                <c:pt idx="216">
                  <c:v>71748.581808926858</c:v>
                </c:pt>
                <c:pt idx="217">
                  <c:v>71987.743748289955</c:v>
                </c:pt>
                <c:pt idx="218">
                  <c:v>72227.702894117581</c:v>
                </c:pt>
                <c:pt idx="219">
                  <c:v>72468.461903764648</c:v>
                </c:pt>
                <c:pt idx="220">
                  <c:v>72710.023443443861</c:v>
                </c:pt>
                <c:pt idx="221">
                  <c:v>72952.390188255347</c:v>
                </c:pt>
                <c:pt idx="222">
                  <c:v>73195.564822216198</c:v>
                </c:pt>
                <c:pt idx="223">
                  <c:v>73439.550038290254</c:v>
                </c:pt>
                <c:pt idx="224">
                  <c:v>73684.348538417878</c:v>
                </c:pt>
                <c:pt idx="225">
                  <c:v>73929.963033545937</c:v>
                </c:pt>
                <c:pt idx="226">
                  <c:v>74176.396243657757</c:v>
                </c:pt>
                <c:pt idx="227">
                  <c:v>74423.65089780328</c:v>
                </c:pt>
                <c:pt idx="228">
                  <c:v>74671.729734129287</c:v>
                </c:pt>
                <c:pt idx="229">
                  <c:v>74920.635499909738</c:v>
                </c:pt>
                <c:pt idx="230">
                  <c:v>75170.3709515761</c:v>
                </c:pt>
                <c:pt idx="231">
                  <c:v>75420.938854748005</c:v>
                </c:pt>
                <c:pt idx="232">
                  <c:v>75672.341984263825</c:v>
                </c:pt>
                <c:pt idx="233">
                  <c:v>75924.583124211378</c:v>
                </c:pt>
                <c:pt idx="234">
                  <c:v>76177.665067958762</c:v>
                </c:pt>
                <c:pt idx="235">
                  <c:v>76431.590618185292</c:v>
                </c:pt>
                <c:pt idx="236">
                  <c:v>76686.362586912583</c:v>
                </c:pt>
                <c:pt idx="237">
                  <c:v>76941.983795535605</c:v>
                </c:pt>
                <c:pt idx="238">
                  <c:v>71075.914033905734</c:v>
                </c:pt>
                <c:pt idx="239">
                  <c:v>71372.063675713682</c:v>
                </c:pt>
                <c:pt idx="240">
                  <c:v>71669.447274362479</c:v>
                </c:pt>
                <c:pt idx="241">
                  <c:v>71968.069971338977</c:v>
                </c:pt>
                <c:pt idx="242">
                  <c:v>72267.936929552889</c:v>
                </c:pt>
                <c:pt idx="243">
                  <c:v>72569.053333426025</c:v>
                </c:pt>
                <c:pt idx="244">
                  <c:v>72871.424388981977</c:v>
                </c:pt>
                <c:pt idx="245">
                  <c:v>73175.055323936074</c:v>
                </c:pt>
                <c:pt idx="246">
                  <c:v>73479.951387785797</c:v>
                </c:pt>
                <c:pt idx="247">
                  <c:v>73786.117851901581</c:v>
                </c:pt>
                <c:pt idx="248">
                  <c:v>74093.560009617839</c:v>
                </c:pt>
                <c:pt idx="249">
                  <c:v>74402.283176324578</c:v>
                </c:pt>
                <c:pt idx="250">
                  <c:v>74712.292689559268</c:v>
                </c:pt>
                <c:pt idx="251">
                  <c:v>75023.593909099087</c:v>
                </c:pt>
                <c:pt idx="252">
                  <c:v>75336.192217053671</c:v>
                </c:pt>
                <c:pt idx="253">
                  <c:v>75650.093017958061</c:v>
                </c:pt>
                <c:pt idx="254">
                  <c:v>75965.301738866212</c:v>
                </c:pt>
                <c:pt idx="255">
                  <c:v>76281.823829444824</c:v>
                </c:pt>
                <c:pt idx="256">
                  <c:v>76599.664762067507</c:v>
                </c:pt>
                <c:pt idx="257">
                  <c:v>76918.830031909471</c:v>
                </c:pt>
                <c:pt idx="258">
                  <c:v>77239.325157042418</c:v>
                </c:pt>
                <c:pt idx="259">
                  <c:v>77561.155678530093</c:v>
                </c:pt>
                <c:pt idx="260">
                  <c:v>77884.327160523972</c:v>
                </c:pt>
                <c:pt idx="261">
                  <c:v>78208.845190359469</c:v>
                </c:pt>
                <c:pt idx="262">
                  <c:v>78534.715378652647</c:v>
                </c:pt>
                <c:pt idx="263">
                  <c:v>78861.943359397046</c:v>
                </c:pt>
                <c:pt idx="264">
                  <c:v>79190.534790061196</c:v>
                </c:pt>
                <c:pt idx="265">
                  <c:v>79520.495351686448</c:v>
                </c:pt>
                <c:pt idx="266">
                  <c:v>79851.830748985143</c:v>
                </c:pt>
                <c:pt idx="267">
                  <c:v>80184.546710439259</c:v>
                </c:pt>
                <c:pt idx="268">
                  <c:v>80518.648988399422</c:v>
                </c:pt>
                <c:pt idx="269">
                  <c:v>80854.143359184425</c:v>
                </c:pt>
                <c:pt idx="270">
                  <c:v>81191.035623181015</c:v>
                </c:pt>
                <c:pt idx="271">
                  <c:v>81529.331604944266</c:v>
                </c:pt>
                <c:pt idx="272">
                  <c:v>81869.03715329821</c:v>
                </c:pt>
                <c:pt idx="273">
                  <c:v>82210.158141436943</c:v>
                </c:pt>
                <c:pt idx="274">
                  <c:v>82552.700467026269</c:v>
                </c:pt>
                <c:pt idx="275">
                  <c:v>82896.670052305548</c:v>
                </c:pt>
                <c:pt idx="276">
                  <c:v>83242.072844190145</c:v>
                </c:pt>
                <c:pt idx="277">
                  <c:v>83588.914814374279</c:v>
                </c:pt>
                <c:pt idx="278">
                  <c:v>83937.201959434155</c:v>
                </c:pt>
                <c:pt idx="279">
                  <c:v>84286.940300931805</c:v>
                </c:pt>
                <c:pt idx="280">
                  <c:v>84638.135885519019</c:v>
                </c:pt>
                <c:pt idx="281">
                  <c:v>84990.794785042031</c:v>
                </c:pt>
                <c:pt idx="282">
                  <c:v>85344.923096646351</c:v>
                </c:pt>
                <c:pt idx="283">
                  <c:v>85700.526942882396</c:v>
                </c:pt>
                <c:pt idx="284">
                  <c:v>86057.612471811066</c:v>
                </c:pt>
                <c:pt idx="285">
                  <c:v>86416.185857110278</c:v>
                </c:pt>
                <c:pt idx="286">
                  <c:v>86776.253298181575</c:v>
                </c:pt>
                <c:pt idx="287">
                  <c:v>87137.821020257339</c:v>
                </c:pt>
                <c:pt idx="288">
                  <c:v>87500.895274508395</c:v>
                </c:pt>
                <c:pt idx="289">
                  <c:v>87865.482338152186</c:v>
                </c:pt>
                <c:pt idx="290">
                  <c:v>88231.588514561154</c:v>
                </c:pt>
                <c:pt idx="291">
                  <c:v>88599.220133371826</c:v>
                </c:pt>
                <c:pt idx="292">
                  <c:v>88968.383550594212</c:v>
                </c:pt>
                <c:pt idx="293">
                  <c:v>89339.085148721671</c:v>
                </c:pt>
                <c:pt idx="294">
                  <c:v>89711.331336841366</c:v>
                </c:pt>
                <c:pt idx="295">
                  <c:v>90085.128550744848</c:v>
                </c:pt>
                <c:pt idx="296">
                  <c:v>90460.483253039623</c:v>
                </c:pt>
                <c:pt idx="297">
                  <c:v>90837.40193326064</c:v>
                </c:pt>
                <c:pt idx="298">
                  <c:v>91215.891107982839</c:v>
                </c:pt>
                <c:pt idx="299">
                  <c:v>91595.957320932765</c:v>
                </c:pt>
                <c:pt idx="300">
                  <c:v>91977.60714310332</c:v>
                </c:pt>
                <c:pt idx="301">
                  <c:v>92360.847172866255</c:v>
                </c:pt>
                <c:pt idx="302">
                  <c:v>92745.684036086517</c:v>
                </c:pt>
                <c:pt idx="303">
                  <c:v>93132.124386236886</c:v>
                </c:pt>
                <c:pt idx="304">
                  <c:v>93520.174904512882</c:v>
                </c:pt>
                <c:pt idx="305">
                  <c:v>93909.84229994833</c:v>
                </c:pt>
                <c:pt idx="306">
                  <c:v>94301.133309531462</c:v>
                </c:pt>
                <c:pt idx="307">
                  <c:v>94694.054698321183</c:v>
                </c:pt>
                <c:pt idx="308">
                  <c:v>95088.613259564183</c:v>
                </c:pt>
                <c:pt idx="309">
                  <c:v>95484.815814812377</c:v>
                </c:pt>
                <c:pt idx="310">
                  <c:v>95882.669214040739</c:v>
                </c:pt>
                <c:pt idx="311">
                  <c:v>96282.180335765908</c:v>
                </c:pt>
                <c:pt idx="312">
                  <c:v>96683.356087164924</c:v>
                </c:pt>
                <c:pt idx="313">
                  <c:v>97086.203404194792</c:v>
                </c:pt>
                <c:pt idx="314">
                  <c:v>97490.72925171227</c:v>
                </c:pt>
                <c:pt idx="315">
                  <c:v>97896.940623594419</c:v>
                </c:pt>
                <c:pt idx="316">
                  <c:v>98304.844542859384</c:v>
                </c:pt>
                <c:pt idx="317">
                  <c:v>98714.44806178796</c:v>
                </c:pt>
                <c:pt idx="318">
                  <c:v>99125.75826204542</c:v>
                </c:pt>
                <c:pt idx="319">
                  <c:v>99538.782254803955</c:v>
                </c:pt>
                <c:pt idx="320">
                  <c:v>99953.52718086564</c:v>
                </c:pt>
                <c:pt idx="321">
                  <c:v>100370.00021078589</c:v>
                </c:pt>
                <c:pt idx="322">
                  <c:v>100788.2085449975</c:v>
                </c:pt>
                <c:pt idx="323">
                  <c:v>101208.15941393501</c:v>
                </c:pt>
                <c:pt idx="324">
                  <c:v>101629.86007815972</c:v>
                </c:pt>
                <c:pt idx="325">
                  <c:v>102053.31782848539</c:v>
                </c:pt>
                <c:pt idx="326">
                  <c:v>102478.53998610409</c:v>
                </c:pt>
                <c:pt idx="327">
                  <c:v>102905.53390271286</c:v>
                </c:pt>
                <c:pt idx="328">
                  <c:v>103334.30696064082</c:v>
                </c:pt>
                <c:pt idx="329">
                  <c:v>103764.86657297681</c:v>
                </c:pt>
                <c:pt idx="330">
                  <c:v>104197.22018369756</c:v>
                </c:pt>
                <c:pt idx="331">
                  <c:v>104631.37526779631</c:v>
                </c:pt>
                <c:pt idx="332">
                  <c:v>105067.33933141211</c:v>
                </c:pt>
                <c:pt idx="333">
                  <c:v>105505.11991195966</c:v>
                </c:pt>
                <c:pt idx="334">
                  <c:v>105944.72457825951</c:v>
                </c:pt>
                <c:pt idx="335">
                  <c:v>106386.16093066891</c:v>
                </c:pt>
                <c:pt idx="336">
                  <c:v>106829.43660121337</c:v>
                </c:pt>
                <c:pt idx="337">
                  <c:v>107274.55925371843</c:v>
                </c:pt>
                <c:pt idx="338">
                  <c:v>107721.53658394224</c:v>
                </c:pt>
                <c:pt idx="339">
                  <c:v>108170.37631970868</c:v>
                </c:pt>
                <c:pt idx="340">
                  <c:v>108621.08622104079</c:v>
                </c:pt>
                <c:pt idx="341">
                  <c:v>109073.67408029514</c:v>
                </c:pt>
                <c:pt idx="342">
                  <c:v>109528.14772229636</c:v>
                </c:pt>
                <c:pt idx="343">
                  <c:v>109984.5150044726</c:v>
                </c:pt>
                <c:pt idx="344">
                  <c:v>110442.78381699123</c:v>
                </c:pt>
                <c:pt idx="345">
                  <c:v>110902.96208289536</c:v>
                </c:pt>
                <c:pt idx="346">
                  <c:v>111365.05775824076</c:v>
                </c:pt>
                <c:pt idx="347">
                  <c:v>111829.07883223343</c:v>
                </c:pt>
                <c:pt idx="348">
                  <c:v>112295.03332736774</c:v>
                </c:pt>
                <c:pt idx="349">
                  <c:v>112762.92929956509</c:v>
                </c:pt>
                <c:pt idx="350">
                  <c:v>113232.77483831329</c:v>
                </c:pt>
                <c:pt idx="351">
                  <c:v>113704.57806680625</c:v>
                </c:pt>
                <c:pt idx="352">
                  <c:v>114178.34714208462</c:v>
                </c:pt>
                <c:pt idx="353">
                  <c:v>114654.09025517663</c:v>
                </c:pt>
                <c:pt idx="354">
                  <c:v>115131.81563123988</c:v>
                </c:pt>
                <c:pt idx="355">
                  <c:v>115611.53152970338</c:v>
                </c:pt>
                <c:pt idx="356">
                  <c:v>116093.24624441046</c:v>
                </c:pt>
                <c:pt idx="357">
                  <c:v>116576.96810376216</c:v>
                </c:pt>
                <c:pt idx="358">
                  <c:v>117062.70547086177</c:v>
                </c:pt>
                <c:pt idx="359">
                  <c:v>117550.46674365702</c:v>
                </c:pt>
                <c:pt idx="360">
                  <c:v>118040.26035508893</c:v>
                </c:pt>
                <c:pt idx="361">
                  <c:v>118532.09477323513</c:v>
                </c:pt>
                <c:pt idx="362">
                  <c:v>119025.97850145695</c:v>
                </c:pt>
                <c:pt idx="363">
                  <c:v>119521.92007854635</c:v>
                </c:pt>
                <c:pt idx="364">
                  <c:v>120019.92807887362</c:v>
                </c:pt>
                <c:pt idx="365">
                  <c:v>120520.01111253561</c:v>
                </c:pt>
                <c:pt idx="366">
                  <c:v>121022.17782550449</c:v>
                </c:pt>
                <c:pt idx="367">
                  <c:v>121526.43689977743</c:v>
                </c:pt>
                <c:pt idx="368">
                  <c:v>122032.7970535265</c:v>
                </c:pt>
                <c:pt idx="369">
                  <c:v>122541.26704124954</c:v>
                </c:pt>
                <c:pt idx="370">
                  <c:v>123051.8556539214</c:v>
                </c:pt>
                <c:pt idx="371">
                  <c:v>123564.57171914607</c:v>
                </c:pt>
                <c:pt idx="372">
                  <c:v>124079.42410130918</c:v>
                </c:pt>
                <c:pt idx="373">
                  <c:v>124596.42170173131</c:v>
                </c:pt>
                <c:pt idx="374">
                  <c:v>125115.57345882185</c:v>
                </c:pt>
                <c:pt idx="375">
                  <c:v>125636.88834823361</c:v>
                </c:pt>
                <c:pt idx="376">
                  <c:v>126160.37538301792</c:v>
                </c:pt>
                <c:pt idx="377">
                  <c:v>126686.04361378049</c:v>
                </c:pt>
                <c:pt idx="378">
                  <c:v>127213.90212883792</c:v>
                </c:pt>
                <c:pt idx="379">
                  <c:v>127743.96005437474</c:v>
                </c:pt>
                <c:pt idx="380">
                  <c:v>128276.22655460129</c:v>
                </c:pt>
                <c:pt idx="381">
                  <c:v>128810.71083191213</c:v>
                </c:pt>
                <c:pt idx="382">
                  <c:v>129347.42212704509</c:v>
                </c:pt>
                <c:pt idx="383">
                  <c:v>129886.36971924112</c:v>
                </c:pt>
                <c:pt idx="384">
                  <c:v>130427.56292640463</c:v>
                </c:pt>
                <c:pt idx="385">
                  <c:v>130971.01110526464</c:v>
                </c:pt>
                <c:pt idx="386">
                  <c:v>131516.72365153657</c:v>
                </c:pt>
                <c:pt idx="387">
                  <c:v>132064.71000008465</c:v>
                </c:pt>
                <c:pt idx="388">
                  <c:v>132614.97962508499</c:v>
                </c:pt>
                <c:pt idx="389">
                  <c:v>133167.54204018952</c:v>
                </c:pt>
                <c:pt idx="390">
                  <c:v>133722.40679869032</c:v>
                </c:pt>
                <c:pt idx="391">
                  <c:v>134279.58349368486</c:v>
                </c:pt>
                <c:pt idx="392">
                  <c:v>134839.08175824187</c:v>
                </c:pt>
                <c:pt idx="393">
                  <c:v>135400.91126556788</c:v>
                </c:pt>
                <c:pt idx="394">
                  <c:v>135965.08172917442</c:v>
                </c:pt>
                <c:pt idx="395">
                  <c:v>136531.60290304598</c:v>
                </c:pt>
                <c:pt idx="396">
                  <c:v>137100.48458180868</c:v>
                </c:pt>
                <c:pt idx="397">
                  <c:v>137671.73660089955</c:v>
                </c:pt>
                <c:pt idx="398">
                  <c:v>138245.36883673663</c:v>
                </c:pt>
                <c:pt idx="399">
                  <c:v>138821.39120688968</c:v>
                </c:pt>
                <c:pt idx="400">
                  <c:v>139399.81367025172</c:v>
                </c:pt>
                <c:pt idx="401">
                  <c:v>139980.64622721111</c:v>
                </c:pt>
                <c:pt idx="402">
                  <c:v>140563.89891982448</c:v>
                </c:pt>
                <c:pt idx="403">
                  <c:v>141149.58183199042</c:v>
                </c:pt>
                <c:pt idx="404">
                  <c:v>141737.70508962372</c:v>
                </c:pt>
                <c:pt idx="405">
                  <c:v>142328.27886083047</c:v>
                </c:pt>
                <c:pt idx="406">
                  <c:v>142921.31335608393</c:v>
                </c:pt>
                <c:pt idx="407">
                  <c:v>143516.81882840095</c:v>
                </c:pt>
                <c:pt idx="408">
                  <c:v>144114.80557351929</c:v>
                </c:pt>
                <c:pt idx="409">
                  <c:v>144715.28393007562</c:v>
                </c:pt>
                <c:pt idx="410">
                  <c:v>145318.26427978429</c:v>
                </c:pt>
                <c:pt idx="411">
                  <c:v>145923.7570476167</c:v>
                </c:pt>
                <c:pt idx="412">
                  <c:v>146531.77270198177</c:v>
                </c:pt>
                <c:pt idx="413">
                  <c:v>147142.3217549067</c:v>
                </c:pt>
                <c:pt idx="414">
                  <c:v>147755.4147622188</c:v>
                </c:pt>
                <c:pt idx="415">
                  <c:v>148371.06232372805</c:v>
                </c:pt>
                <c:pt idx="416">
                  <c:v>148989.27508341026</c:v>
                </c:pt>
                <c:pt idx="417">
                  <c:v>149610.06372962275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1C-4C79-A52D-338525FC46F8}"/>
            </c:ext>
          </c:extLst>
        </c:ser>
        <c:ser>
          <c:idx val="2"/>
          <c:order val="2"/>
          <c:tx>
            <c:v>目盛り用余白（なし）</c:v>
          </c:tx>
          <c:spPr>
            <a:noFill/>
            <a:ln>
              <a:noFill/>
            </a:ln>
          </c:spPr>
          <c:invertIfNegative val="0"/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結果サマリー!$W$6:$W$603</c:f>
              <c:numCache>
                <c:formatCode>#,##0</c:formatCode>
                <c:ptCount val="598"/>
                <c:pt idx="0">
                  <c:v>49629.037340523239</c:v>
                </c:pt>
                <c:pt idx="1">
                  <c:v>49629.037340523239</c:v>
                </c:pt>
                <c:pt idx="2">
                  <c:v>49629.037340523239</c:v>
                </c:pt>
                <c:pt idx="3">
                  <c:v>49629.037340523239</c:v>
                </c:pt>
                <c:pt idx="4">
                  <c:v>49629.037340523239</c:v>
                </c:pt>
                <c:pt idx="5">
                  <c:v>49629.037340523239</c:v>
                </c:pt>
                <c:pt idx="6">
                  <c:v>49629.037340523239</c:v>
                </c:pt>
                <c:pt idx="7">
                  <c:v>49629.037340523239</c:v>
                </c:pt>
                <c:pt idx="8">
                  <c:v>49629.037340523239</c:v>
                </c:pt>
                <c:pt idx="9">
                  <c:v>49629.037340523239</c:v>
                </c:pt>
                <c:pt idx="10">
                  <c:v>49629.037340523239</c:v>
                </c:pt>
                <c:pt idx="11">
                  <c:v>49629.037340523239</c:v>
                </c:pt>
                <c:pt idx="12">
                  <c:v>49629.037340523239</c:v>
                </c:pt>
                <c:pt idx="13">
                  <c:v>49629.037340523239</c:v>
                </c:pt>
                <c:pt idx="14">
                  <c:v>49629.037340523239</c:v>
                </c:pt>
                <c:pt idx="15">
                  <c:v>49629.037340523239</c:v>
                </c:pt>
                <c:pt idx="16">
                  <c:v>49629.037340523239</c:v>
                </c:pt>
                <c:pt idx="17">
                  <c:v>49629.037340523239</c:v>
                </c:pt>
                <c:pt idx="18">
                  <c:v>49629.037340523239</c:v>
                </c:pt>
                <c:pt idx="19">
                  <c:v>49629.037340523239</c:v>
                </c:pt>
                <c:pt idx="20">
                  <c:v>49629.037340523239</c:v>
                </c:pt>
                <c:pt idx="21">
                  <c:v>49629.037340523239</c:v>
                </c:pt>
                <c:pt idx="22">
                  <c:v>49629.037340523239</c:v>
                </c:pt>
                <c:pt idx="23">
                  <c:v>49629.037340523239</c:v>
                </c:pt>
                <c:pt idx="24">
                  <c:v>49629.037340523239</c:v>
                </c:pt>
                <c:pt idx="25">
                  <c:v>49629.037340523239</c:v>
                </c:pt>
                <c:pt idx="26">
                  <c:v>49629.037340523239</c:v>
                </c:pt>
                <c:pt idx="27">
                  <c:v>49629.037340523239</c:v>
                </c:pt>
                <c:pt idx="28">
                  <c:v>49629.037340523239</c:v>
                </c:pt>
                <c:pt idx="29">
                  <c:v>49629.037340523239</c:v>
                </c:pt>
                <c:pt idx="30">
                  <c:v>49629.037340523239</c:v>
                </c:pt>
                <c:pt idx="31">
                  <c:v>49629.037340523239</c:v>
                </c:pt>
                <c:pt idx="32">
                  <c:v>49629.037340523239</c:v>
                </c:pt>
                <c:pt idx="33">
                  <c:v>49629.037340523239</c:v>
                </c:pt>
                <c:pt idx="34">
                  <c:v>49629.037340523239</c:v>
                </c:pt>
                <c:pt idx="35">
                  <c:v>49629.037340523239</c:v>
                </c:pt>
                <c:pt idx="36">
                  <c:v>49629.037340523239</c:v>
                </c:pt>
                <c:pt idx="37">
                  <c:v>49629.037340523239</c:v>
                </c:pt>
                <c:pt idx="38">
                  <c:v>49629.037340523239</c:v>
                </c:pt>
                <c:pt idx="39">
                  <c:v>49629.037340523239</c:v>
                </c:pt>
                <c:pt idx="40">
                  <c:v>49629.037340523239</c:v>
                </c:pt>
                <c:pt idx="41">
                  <c:v>49629.037340523239</c:v>
                </c:pt>
                <c:pt idx="42">
                  <c:v>49629.037340523239</c:v>
                </c:pt>
                <c:pt idx="43">
                  <c:v>49629.037340523239</c:v>
                </c:pt>
                <c:pt idx="44">
                  <c:v>49629.037340523239</c:v>
                </c:pt>
                <c:pt idx="45">
                  <c:v>49629.037340523239</c:v>
                </c:pt>
                <c:pt idx="46">
                  <c:v>49629.037340523239</c:v>
                </c:pt>
                <c:pt idx="47">
                  <c:v>49629.037340523239</c:v>
                </c:pt>
                <c:pt idx="48">
                  <c:v>49629.037340523239</c:v>
                </c:pt>
                <c:pt idx="49">
                  <c:v>49629.037340523239</c:v>
                </c:pt>
                <c:pt idx="50">
                  <c:v>49629.037340523239</c:v>
                </c:pt>
                <c:pt idx="51">
                  <c:v>49629.037340523239</c:v>
                </c:pt>
                <c:pt idx="52">
                  <c:v>49629.037340523239</c:v>
                </c:pt>
                <c:pt idx="53">
                  <c:v>49629.037340523239</c:v>
                </c:pt>
                <c:pt idx="54">
                  <c:v>49629.037340523239</c:v>
                </c:pt>
                <c:pt idx="55">
                  <c:v>49629.037340523239</c:v>
                </c:pt>
                <c:pt idx="56">
                  <c:v>49629.037340523239</c:v>
                </c:pt>
                <c:pt idx="57">
                  <c:v>49629.037340523239</c:v>
                </c:pt>
                <c:pt idx="58">
                  <c:v>28565.824438903801</c:v>
                </c:pt>
                <c:pt idx="59">
                  <c:v>28565.824438903801</c:v>
                </c:pt>
                <c:pt idx="60">
                  <c:v>28565.824438903801</c:v>
                </c:pt>
                <c:pt idx="61">
                  <c:v>28565.824438903801</c:v>
                </c:pt>
                <c:pt idx="62">
                  <c:v>28565.824438903801</c:v>
                </c:pt>
                <c:pt idx="63">
                  <c:v>28565.824438903801</c:v>
                </c:pt>
                <c:pt idx="64">
                  <c:v>28565.824438903801</c:v>
                </c:pt>
                <c:pt idx="65">
                  <c:v>28565.824438903801</c:v>
                </c:pt>
                <c:pt idx="66">
                  <c:v>28565.824438903801</c:v>
                </c:pt>
                <c:pt idx="67">
                  <c:v>28565.824438903801</c:v>
                </c:pt>
                <c:pt idx="68">
                  <c:v>28565.824438903801</c:v>
                </c:pt>
                <c:pt idx="69">
                  <c:v>28565.824438903801</c:v>
                </c:pt>
                <c:pt idx="70">
                  <c:v>28565.824438903801</c:v>
                </c:pt>
                <c:pt idx="71">
                  <c:v>28565.824438903801</c:v>
                </c:pt>
                <c:pt idx="72">
                  <c:v>28565.824438903801</c:v>
                </c:pt>
                <c:pt idx="73">
                  <c:v>28565.824438903801</c:v>
                </c:pt>
                <c:pt idx="74">
                  <c:v>28565.824438903801</c:v>
                </c:pt>
                <c:pt idx="75">
                  <c:v>28565.824438903801</c:v>
                </c:pt>
                <c:pt idx="76">
                  <c:v>28565.824438903801</c:v>
                </c:pt>
                <c:pt idx="77">
                  <c:v>28565.824438903801</c:v>
                </c:pt>
                <c:pt idx="78">
                  <c:v>28565.824438903801</c:v>
                </c:pt>
                <c:pt idx="79">
                  <c:v>28565.824438903801</c:v>
                </c:pt>
                <c:pt idx="80">
                  <c:v>28565.824438903801</c:v>
                </c:pt>
                <c:pt idx="81">
                  <c:v>28565.824438903801</c:v>
                </c:pt>
                <c:pt idx="82">
                  <c:v>28565.824438903801</c:v>
                </c:pt>
                <c:pt idx="83">
                  <c:v>28565.824438903801</c:v>
                </c:pt>
                <c:pt idx="84">
                  <c:v>28565.824438903801</c:v>
                </c:pt>
                <c:pt idx="85">
                  <c:v>28565.824438903801</c:v>
                </c:pt>
                <c:pt idx="86">
                  <c:v>28565.824438903801</c:v>
                </c:pt>
                <c:pt idx="87">
                  <c:v>28565.824438903801</c:v>
                </c:pt>
                <c:pt idx="88">
                  <c:v>28565.824438903801</c:v>
                </c:pt>
                <c:pt idx="89">
                  <c:v>28565.824438903801</c:v>
                </c:pt>
                <c:pt idx="90">
                  <c:v>28565.824438903801</c:v>
                </c:pt>
                <c:pt idx="91">
                  <c:v>28565.824438903801</c:v>
                </c:pt>
                <c:pt idx="92">
                  <c:v>28565.824438903801</c:v>
                </c:pt>
                <c:pt idx="93">
                  <c:v>28565.824438903801</c:v>
                </c:pt>
                <c:pt idx="94">
                  <c:v>28565.824438903801</c:v>
                </c:pt>
                <c:pt idx="95">
                  <c:v>28565.824438903801</c:v>
                </c:pt>
                <c:pt idx="96">
                  <c:v>28565.824438903801</c:v>
                </c:pt>
                <c:pt idx="97">
                  <c:v>28565.824438903801</c:v>
                </c:pt>
                <c:pt idx="98">
                  <c:v>28565.824438903801</c:v>
                </c:pt>
                <c:pt idx="99">
                  <c:v>28565.824438903801</c:v>
                </c:pt>
                <c:pt idx="100">
                  <c:v>28565.824438903801</c:v>
                </c:pt>
                <c:pt idx="101">
                  <c:v>28565.824438903801</c:v>
                </c:pt>
                <c:pt idx="102">
                  <c:v>28565.824438903801</c:v>
                </c:pt>
                <c:pt idx="103">
                  <c:v>28565.824438903801</c:v>
                </c:pt>
                <c:pt idx="104">
                  <c:v>28565.824438903801</c:v>
                </c:pt>
                <c:pt idx="105">
                  <c:v>28565.824438903801</c:v>
                </c:pt>
                <c:pt idx="106">
                  <c:v>28565.824438903801</c:v>
                </c:pt>
                <c:pt idx="107">
                  <c:v>28565.824438903801</c:v>
                </c:pt>
                <c:pt idx="108">
                  <c:v>28565.824438903801</c:v>
                </c:pt>
                <c:pt idx="109">
                  <c:v>28565.824438903801</c:v>
                </c:pt>
                <c:pt idx="110">
                  <c:v>28565.824438903801</c:v>
                </c:pt>
                <c:pt idx="111">
                  <c:v>28565.824438903801</c:v>
                </c:pt>
                <c:pt idx="112">
                  <c:v>28565.824438903801</c:v>
                </c:pt>
                <c:pt idx="113">
                  <c:v>28565.824438903801</c:v>
                </c:pt>
                <c:pt idx="114">
                  <c:v>28565.824438903801</c:v>
                </c:pt>
                <c:pt idx="115">
                  <c:v>28565.824438903801</c:v>
                </c:pt>
                <c:pt idx="116">
                  <c:v>28565.824438903801</c:v>
                </c:pt>
                <c:pt idx="117">
                  <c:v>28565.824438903801</c:v>
                </c:pt>
                <c:pt idx="118">
                  <c:v>21624.417150689536</c:v>
                </c:pt>
                <c:pt idx="119">
                  <c:v>21624.417150689536</c:v>
                </c:pt>
                <c:pt idx="120">
                  <c:v>21624.417150689536</c:v>
                </c:pt>
                <c:pt idx="121">
                  <c:v>21624.417150689536</c:v>
                </c:pt>
                <c:pt idx="122">
                  <c:v>21624.417150689536</c:v>
                </c:pt>
                <c:pt idx="123">
                  <c:v>21624.417150689536</c:v>
                </c:pt>
                <c:pt idx="124">
                  <c:v>21624.417150689536</c:v>
                </c:pt>
                <c:pt idx="125">
                  <c:v>21624.417150689536</c:v>
                </c:pt>
                <c:pt idx="126">
                  <c:v>21624.417150689536</c:v>
                </c:pt>
                <c:pt idx="127">
                  <c:v>21624.417150689536</c:v>
                </c:pt>
                <c:pt idx="128">
                  <c:v>21624.417150689536</c:v>
                </c:pt>
                <c:pt idx="129">
                  <c:v>21624.417150689536</c:v>
                </c:pt>
                <c:pt idx="130">
                  <c:v>21624.417150689536</c:v>
                </c:pt>
                <c:pt idx="131">
                  <c:v>21624.417150689536</c:v>
                </c:pt>
                <c:pt idx="132">
                  <c:v>21624.417150689536</c:v>
                </c:pt>
                <c:pt idx="133">
                  <c:v>21624.417150689536</c:v>
                </c:pt>
                <c:pt idx="134">
                  <c:v>21624.417150689536</c:v>
                </c:pt>
                <c:pt idx="135">
                  <c:v>21624.417150689536</c:v>
                </c:pt>
                <c:pt idx="136">
                  <c:v>21624.417150689536</c:v>
                </c:pt>
                <c:pt idx="137">
                  <c:v>21624.417150689536</c:v>
                </c:pt>
                <c:pt idx="138">
                  <c:v>21624.417150689536</c:v>
                </c:pt>
                <c:pt idx="139">
                  <c:v>21624.417150689536</c:v>
                </c:pt>
                <c:pt idx="140">
                  <c:v>21624.417150689536</c:v>
                </c:pt>
                <c:pt idx="141">
                  <c:v>21624.417150689536</c:v>
                </c:pt>
                <c:pt idx="142">
                  <c:v>21624.417150689536</c:v>
                </c:pt>
                <c:pt idx="143">
                  <c:v>21624.417150689536</c:v>
                </c:pt>
                <c:pt idx="144">
                  <c:v>21624.417150689536</c:v>
                </c:pt>
                <c:pt idx="145">
                  <c:v>21624.417150689536</c:v>
                </c:pt>
                <c:pt idx="146">
                  <c:v>21624.417150689536</c:v>
                </c:pt>
                <c:pt idx="147">
                  <c:v>21624.417150689536</c:v>
                </c:pt>
                <c:pt idx="148">
                  <c:v>21624.417150689536</c:v>
                </c:pt>
                <c:pt idx="149">
                  <c:v>21624.417150689536</c:v>
                </c:pt>
                <c:pt idx="150">
                  <c:v>21624.417150689536</c:v>
                </c:pt>
                <c:pt idx="151">
                  <c:v>21624.417150689536</c:v>
                </c:pt>
                <c:pt idx="152">
                  <c:v>21624.417150689536</c:v>
                </c:pt>
                <c:pt idx="153">
                  <c:v>21624.417150689536</c:v>
                </c:pt>
                <c:pt idx="154">
                  <c:v>21624.417150689536</c:v>
                </c:pt>
                <c:pt idx="155">
                  <c:v>21624.417150689536</c:v>
                </c:pt>
                <c:pt idx="156">
                  <c:v>21624.417150689536</c:v>
                </c:pt>
                <c:pt idx="157">
                  <c:v>21624.417150689536</c:v>
                </c:pt>
                <c:pt idx="158">
                  <c:v>21624.417150689536</c:v>
                </c:pt>
                <c:pt idx="159">
                  <c:v>21624.417150689536</c:v>
                </c:pt>
                <c:pt idx="160">
                  <c:v>21624.417150689536</c:v>
                </c:pt>
                <c:pt idx="161">
                  <c:v>21624.417150689536</c:v>
                </c:pt>
                <c:pt idx="162">
                  <c:v>21624.417150689536</c:v>
                </c:pt>
                <c:pt idx="163">
                  <c:v>21624.417150689536</c:v>
                </c:pt>
                <c:pt idx="164">
                  <c:v>21624.417150689536</c:v>
                </c:pt>
                <c:pt idx="165">
                  <c:v>21624.417150689536</c:v>
                </c:pt>
                <c:pt idx="166">
                  <c:v>21624.417150689536</c:v>
                </c:pt>
                <c:pt idx="167">
                  <c:v>21624.417150689536</c:v>
                </c:pt>
                <c:pt idx="168">
                  <c:v>21624.417150689536</c:v>
                </c:pt>
                <c:pt idx="169">
                  <c:v>21624.417150689536</c:v>
                </c:pt>
                <c:pt idx="170">
                  <c:v>21624.417150689536</c:v>
                </c:pt>
                <c:pt idx="171">
                  <c:v>21624.417150689536</c:v>
                </c:pt>
                <c:pt idx="172">
                  <c:v>21624.417150689536</c:v>
                </c:pt>
                <c:pt idx="173">
                  <c:v>21624.417150689536</c:v>
                </c:pt>
                <c:pt idx="174">
                  <c:v>21624.417150689536</c:v>
                </c:pt>
                <c:pt idx="175">
                  <c:v>21624.417150689536</c:v>
                </c:pt>
                <c:pt idx="176">
                  <c:v>21624.417150689536</c:v>
                </c:pt>
                <c:pt idx="177">
                  <c:v>21624.417150689536</c:v>
                </c:pt>
                <c:pt idx="178">
                  <c:v>9708.9619513290818</c:v>
                </c:pt>
                <c:pt idx="179">
                  <c:v>9708.9619513290818</c:v>
                </c:pt>
                <c:pt idx="180">
                  <c:v>9708.9619513290818</c:v>
                </c:pt>
                <c:pt idx="181">
                  <c:v>9708.9619513290818</c:v>
                </c:pt>
                <c:pt idx="182">
                  <c:v>9708.9619513290818</c:v>
                </c:pt>
                <c:pt idx="183">
                  <c:v>9708.9619513290818</c:v>
                </c:pt>
                <c:pt idx="184">
                  <c:v>9708.9619513290818</c:v>
                </c:pt>
                <c:pt idx="185">
                  <c:v>9708.9619513290818</c:v>
                </c:pt>
                <c:pt idx="186">
                  <c:v>9708.9619513290818</c:v>
                </c:pt>
                <c:pt idx="187">
                  <c:v>9708.9619513290818</c:v>
                </c:pt>
                <c:pt idx="188">
                  <c:v>9708.9619513290818</c:v>
                </c:pt>
                <c:pt idx="189">
                  <c:v>9708.9619513290818</c:v>
                </c:pt>
                <c:pt idx="190">
                  <c:v>9708.9619513290818</c:v>
                </c:pt>
                <c:pt idx="191">
                  <c:v>9708.9619513290818</c:v>
                </c:pt>
                <c:pt idx="192">
                  <c:v>9708.9619513290818</c:v>
                </c:pt>
                <c:pt idx="193">
                  <c:v>9708.9619513290818</c:v>
                </c:pt>
                <c:pt idx="194">
                  <c:v>9708.9619513290818</c:v>
                </c:pt>
                <c:pt idx="195">
                  <c:v>9708.9619513290818</c:v>
                </c:pt>
                <c:pt idx="196">
                  <c:v>9708.9619513290818</c:v>
                </c:pt>
                <c:pt idx="197">
                  <c:v>9708.9619513290818</c:v>
                </c:pt>
                <c:pt idx="198">
                  <c:v>9708.9619513290818</c:v>
                </c:pt>
                <c:pt idx="199">
                  <c:v>9708.9619513290818</c:v>
                </c:pt>
                <c:pt idx="200">
                  <c:v>9708.9619513290818</c:v>
                </c:pt>
                <c:pt idx="201">
                  <c:v>9708.9619513290818</c:v>
                </c:pt>
                <c:pt idx="202">
                  <c:v>9708.9619513290818</c:v>
                </c:pt>
                <c:pt idx="203">
                  <c:v>9708.9619513290818</c:v>
                </c:pt>
                <c:pt idx="204">
                  <c:v>9708.9619513290818</c:v>
                </c:pt>
                <c:pt idx="205">
                  <c:v>9708.9619513290818</c:v>
                </c:pt>
                <c:pt idx="206">
                  <c:v>9708.9619513290818</c:v>
                </c:pt>
                <c:pt idx="207">
                  <c:v>9708.9619513290818</c:v>
                </c:pt>
                <c:pt idx="208">
                  <c:v>9708.9619513290818</c:v>
                </c:pt>
                <c:pt idx="209">
                  <c:v>9708.9619513290818</c:v>
                </c:pt>
                <c:pt idx="210">
                  <c:v>9708.9619513290818</c:v>
                </c:pt>
                <c:pt idx="211">
                  <c:v>9708.9619513290818</c:v>
                </c:pt>
                <c:pt idx="212">
                  <c:v>9708.9619513290818</c:v>
                </c:pt>
                <c:pt idx="213">
                  <c:v>9708.9619513290818</c:v>
                </c:pt>
                <c:pt idx="214">
                  <c:v>9708.9619513290818</c:v>
                </c:pt>
                <c:pt idx="215">
                  <c:v>9708.9619513290818</c:v>
                </c:pt>
                <c:pt idx="216">
                  <c:v>9708.9619513290818</c:v>
                </c:pt>
                <c:pt idx="217">
                  <c:v>9708.9619513290818</c:v>
                </c:pt>
                <c:pt idx="218">
                  <c:v>9708.9619513290818</c:v>
                </c:pt>
                <c:pt idx="219">
                  <c:v>9708.9619513290818</c:v>
                </c:pt>
                <c:pt idx="220">
                  <c:v>9708.9619513290818</c:v>
                </c:pt>
                <c:pt idx="221">
                  <c:v>9708.9619513290818</c:v>
                </c:pt>
                <c:pt idx="222">
                  <c:v>9708.9619513290818</c:v>
                </c:pt>
                <c:pt idx="223">
                  <c:v>9708.9619513290818</c:v>
                </c:pt>
                <c:pt idx="224">
                  <c:v>9708.9619513290818</c:v>
                </c:pt>
                <c:pt idx="225">
                  <c:v>9708.9619513290818</c:v>
                </c:pt>
                <c:pt idx="226">
                  <c:v>9708.9619513290818</c:v>
                </c:pt>
                <c:pt idx="227">
                  <c:v>9708.9619513290818</c:v>
                </c:pt>
                <c:pt idx="228">
                  <c:v>9708.9619513290818</c:v>
                </c:pt>
                <c:pt idx="229">
                  <c:v>9708.9619513290818</c:v>
                </c:pt>
                <c:pt idx="230">
                  <c:v>9708.9619513290818</c:v>
                </c:pt>
                <c:pt idx="231">
                  <c:v>9708.9619513290818</c:v>
                </c:pt>
                <c:pt idx="232">
                  <c:v>9708.9619513290818</c:v>
                </c:pt>
                <c:pt idx="233">
                  <c:v>9708.9619513290818</c:v>
                </c:pt>
                <c:pt idx="234">
                  <c:v>9708.9619513290818</c:v>
                </c:pt>
                <c:pt idx="235">
                  <c:v>9708.9619513290818</c:v>
                </c:pt>
                <c:pt idx="236">
                  <c:v>9708.9619513290818</c:v>
                </c:pt>
                <c:pt idx="237">
                  <c:v>9708.9619513290818</c:v>
                </c:pt>
                <c:pt idx="238">
                  <c:v>3.2479874789714813E-8</c:v>
                </c:pt>
                <c:pt idx="239">
                  <c:v>3.2479874789714813E-8</c:v>
                </c:pt>
                <c:pt idx="240">
                  <c:v>3.2479874789714813E-8</c:v>
                </c:pt>
                <c:pt idx="241">
                  <c:v>3.2479874789714813E-8</c:v>
                </c:pt>
                <c:pt idx="242">
                  <c:v>3.2479874789714813E-8</c:v>
                </c:pt>
                <c:pt idx="243">
                  <c:v>3.2479874789714813E-8</c:v>
                </c:pt>
                <c:pt idx="244">
                  <c:v>3.2479874789714813E-8</c:v>
                </c:pt>
                <c:pt idx="245">
                  <c:v>3.2479874789714813E-8</c:v>
                </c:pt>
                <c:pt idx="246">
                  <c:v>3.2479874789714813E-8</c:v>
                </c:pt>
                <c:pt idx="247">
                  <c:v>3.2479874789714813E-8</c:v>
                </c:pt>
                <c:pt idx="248">
                  <c:v>3.2479874789714813E-8</c:v>
                </c:pt>
                <c:pt idx="249">
                  <c:v>3.2479874789714813E-8</c:v>
                </c:pt>
                <c:pt idx="250">
                  <c:v>3.2479874789714813E-8</c:v>
                </c:pt>
                <c:pt idx="251">
                  <c:v>3.2479874789714813E-8</c:v>
                </c:pt>
                <c:pt idx="252">
                  <c:v>3.2479874789714813E-8</c:v>
                </c:pt>
                <c:pt idx="253">
                  <c:v>3.2479874789714813E-8</c:v>
                </c:pt>
                <c:pt idx="254">
                  <c:v>3.2479874789714813E-8</c:v>
                </c:pt>
                <c:pt idx="255">
                  <c:v>3.2479874789714813E-8</c:v>
                </c:pt>
                <c:pt idx="256">
                  <c:v>3.2479874789714813E-8</c:v>
                </c:pt>
                <c:pt idx="257">
                  <c:v>3.2479874789714813E-8</c:v>
                </c:pt>
                <c:pt idx="258">
                  <c:v>3.2479874789714813E-8</c:v>
                </c:pt>
                <c:pt idx="259">
                  <c:v>3.2479874789714813E-8</c:v>
                </c:pt>
                <c:pt idx="260">
                  <c:v>3.2479874789714813E-8</c:v>
                </c:pt>
                <c:pt idx="261">
                  <c:v>3.2479874789714813E-8</c:v>
                </c:pt>
                <c:pt idx="262">
                  <c:v>3.2479874789714813E-8</c:v>
                </c:pt>
                <c:pt idx="263">
                  <c:v>3.2479874789714813E-8</c:v>
                </c:pt>
                <c:pt idx="264">
                  <c:v>3.2479874789714813E-8</c:v>
                </c:pt>
                <c:pt idx="265">
                  <c:v>3.2479874789714813E-8</c:v>
                </c:pt>
                <c:pt idx="266">
                  <c:v>3.2479874789714813E-8</c:v>
                </c:pt>
                <c:pt idx="267">
                  <c:v>3.2479874789714813E-8</c:v>
                </c:pt>
                <c:pt idx="268">
                  <c:v>3.2479874789714813E-8</c:v>
                </c:pt>
                <c:pt idx="269">
                  <c:v>3.2479874789714813E-8</c:v>
                </c:pt>
                <c:pt idx="270">
                  <c:v>3.2479874789714813E-8</c:v>
                </c:pt>
                <c:pt idx="271">
                  <c:v>3.2479874789714813E-8</c:v>
                </c:pt>
                <c:pt idx="272">
                  <c:v>3.2479874789714813E-8</c:v>
                </c:pt>
                <c:pt idx="273">
                  <c:v>3.2479874789714813E-8</c:v>
                </c:pt>
                <c:pt idx="274">
                  <c:v>3.2479874789714813E-8</c:v>
                </c:pt>
                <c:pt idx="275">
                  <c:v>3.2479874789714813E-8</c:v>
                </c:pt>
                <c:pt idx="276">
                  <c:v>3.2479874789714813E-8</c:v>
                </c:pt>
                <c:pt idx="277">
                  <c:v>3.2479874789714813E-8</c:v>
                </c:pt>
                <c:pt idx="278">
                  <c:v>3.2479874789714813E-8</c:v>
                </c:pt>
                <c:pt idx="279">
                  <c:v>3.2479874789714813E-8</c:v>
                </c:pt>
                <c:pt idx="280">
                  <c:v>3.2479874789714813E-8</c:v>
                </c:pt>
                <c:pt idx="281">
                  <c:v>3.2479874789714813E-8</c:v>
                </c:pt>
                <c:pt idx="282">
                  <c:v>3.2479874789714813E-8</c:v>
                </c:pt>
                <c:pt idx="283">
                  <c:v>3.2479874789714813E-8</c:v>
                </c:pt>
                <c:pt idx="284">
                  <c:v>3.2479874789714813E-8</c:v>
                </c:pt>
                <c:pt idx="285">
                  <c:v>3.2479874789714813E-8</c:v>
                </c:pt>
                <c:pt idx="286">
                  <c:v>3.2479874789714813E-8</c:v>
                </c:pt>
                <c:pt idx="287">
                  <c:v>3.2479874789714813E-8</c:v>
                </c:pt>
                <c:pt idx="288">
                  <c:v>3.2479874789714813E-8</c:v>
                </c:pt>
                <c:pt idx="289">
                  <c:v>3.2479874789714813E-8</c:v>
                </c:pt>
                <c:pt idx="290">
                  <c:v>3.2479874789714813E-8</c:v>
                </c:pt>
                <c:pt idx="291">
                  <c:v>3.2479874789714813E-8</c:v>
                </c:pt>
                <c:pt idx="292">
                  <c:v>3.2479874789714813E-8</c:v>
                </c:pt>
                <c:pt idx="293">
                  <c:v>3.2479874789714813E-8</c:v>
                </c:pt>
                <c:pt idx="294">
                  <c:v>3.2479874789714813E-8</c:v>
                </c:pt>
                <c:pt idx="295">
                  <c:v>3.2479874789714813E-8</c:v>
                </c:pt>
                <c:pt idx="296">
                  <c:v>3.2479874789714813E-8</c:v>
                </c:pt>
                <c:pt idx="297">
                  <c:v>3.2479874789714813E-8</c:v>
                </c:pt>
                <c:pt idx="298">
                  <c:v>3.2188836485147476E-8</c:v>
                </c:pt>
                <c:pt idx="299">
                  <c:v>3.2188836485147476E-8</c:v>
                </c:pt>
                <c:pt idx="300">
                  <c:v>3.2188836485147476E-8</c:v>
                </c:pt>
                <c:pt idx="301">
                  <c:v>3.2188836485147476E-8</c:v>
                </c:pt>
                <c:pt idx="302">
                  <c:v>3.2188836485147476E-8</c:v>
                </c:pt>
                <c:pt idx="303">
                  <c:v>3.2188836485147476E-8</c:v>
                </c:pt>
                <c:pt idx="304">
                  <c:v>3.2188836485147476E-8</c:v>
                </c:pt>
                <c:pt idx="305">
                  <c:v>3.2188836485147476E-8</c:v>
                </c:pt>
                <c:pt idx="306">
                  <c:v>3.2188836485147476E-8</c:v>
                </c:pt>
                <c:pt idx="307">
                  <c:v>3.2188836485147476E-8</c:v>
                </c:pt>
                <c:pt idx="308">
                  <c:v>3.2188836485147476E-8</c:v>
                </c:pt>
                <c:pt idx="309">
                  <c:v>3.2188836485147476E-8</c:v>
                </c:pt>
                <c:pt idx="310">
                  <c:v>3.2188836485147476E-8</c:v>
                </c:pt>
                <c:pt idx="311">
                  <c:v>3.2188836485147476E-8</c:v>
                </c:pt>
                <c:pt idx="312">
                  <c:v>3.2188836485147476E-8</c:v>
                </c:pt>
                <c:pt idx="313">
                  <c:v>3.2188836485147476E-8</c:v>
                </c:pt>
                <c:pt idx="314">
                  <c:v>3.2188836485147476E-8</c:v>
                </c:pt>
                <c:pt idx="315">
                  <c:v>3.2188836485147476E-8</c:v>
                </c:pt>
                <c:pt idx="316">
                  <c:v>3.2188836485147476E-8</c:v>
                </c:pt>
                <c:pt idx="317">
                  <c:v>3.2188836485147476E-8</c:v>
                </c:pt>
                <c:pt idx="318">
                  <c:v>3.2188836485147476E-8</c:v>
                </c:pt>
                <c:pt idx="319">
                  <c:v>3.2188836485147476E-8</c:v>
                </c:pt>
                <c:pt idx="320">
                  <c:v>3.2188836485147476E-8</c:v>
                </c:pt>
                <c:pt idx="321">
                  <c:v>3.2188836485147476E-8</c:v>
                </c:pt>
                <c:pt idx="322">
                  <c:v>3.2188836485147476E-8</c:v>
                </c:pt>
                <c:pt idx="323">
                  <c:v>3.2188836485147476E-8</c:v>
                </c:pt>
                <c:pt idx="324">
                  <c:v>3.2188836485147476E-8</c:v>
                </c:pt>
                <c:pt idx="325">
                  <c:v>3.2188836485147476E-8</c:v>
                </c:pt>
                <c:pt idx="326">
                  <c:v>3.2188836485147476E-8</c:v>
                </c:pt>
                <c:pt idx="327">
                  <c:v>3.2188836485147476E-8</c:v>
                </c:pt>
                <c:pt idx="328">
                  <c:v>3.2188836485147476E-8</c:v>
                </c:pt>
                <c:pt idx="329">
                  <c:v>3.2188836485147476E-8</c:v>
                </c:pt>
                <c:pt idx="330">
                  <c:v>3.2188836485147476E-8</c:v>
                </c:pt>
                <c:pt idx="331">
                  <c:v>3.2188836485147476E-8</c:v>
                </c:pt>
                <c:pt idx="332">
                  <c:v>3.2188836485147476E-8</c:v>
                </c:pt>
                <c:pt idx="333">
                  <c:v>3.2188836485147476E-8</c:v>
                </c:pt>
                <c:pt idx="334">
                  <c:v>3.2188836485147476E-8</c:v>
                </c:pt>
                <c:pt idx="335">
                  <c:v>3.2188836485147476E-8</c:v>
                </c:pt>
                <c:pt idx="336">
                  <c:v>3.2188836485147476E-8</c:v>
                </c:pt>
                <c:pt idx="337">
                  <c:v>3.2188836485147476E-8</c:v>
                </c:pt>
                <c:pt idx="338">
                  <c:v>3.2188836485147476E-8</c:v>
                </c:pt>
                <c:pt idx="339">
                  <c:v>3.2188836485147476E-8</c:v>
                </c:pt>
                <c:pt idx="340">
                  <c:v>3.2188836485147476E-8</c:v>
                </c:pt>
                <c:pt idx="341">
                  <c:v>3.2188836485147476E-8</c:v>
                </c:pt>
                <c:pt idx="342">
                  <c:v>3.2188836485147476E-8</c:v>
                </c:pt>
                <c:pt idx="343">
                  <c:v>3.2188836485147476E-8</c:v>
                </c:pt>
                <c:pt idx="344">
                  <c:v>3.2188836485147476E-8</c:v>
                </c:pt>
                <c:pt idx="345">
                  <c:v>3.2188836485147476E-8</c:v>
                </c:pt>
                <c:pt idx="346">
                  <c:v>3.2188836485147476E-8</c:v>
                </c:pt>
                <c:pt idx="347">
                  <c:v>3.2188836485147476E-8</c:v>
                </c:pt>
                <c:pt idx="348">
                  <c:v>3.2188836485147476E-8</c:v>
                </c:pt>
                <c:pt idx="349">
                  <c:v>3.2188836485147476E-8</c:v>
                </c:pt>
                <c:pt idx="350">
                  <c:v>3.2188836485147476E-8</c:v>
                </c:pt>
                <c:pt idx="351">
                  <c:v>3.2188836485147476E-8</c:v>
                </c:pt>
                <c:pt idx="352">
                  <c:v>3.2188836485147476E-8</c:v>
                </c:pt>
                <c:pt idx="353">
                  <c:v>3.2188836485147476E-8</c:v>
                </c:pt>
                <c:pt idx="354">
                  <c:v>3.2188836485147476E-8</c:v>
                </c:pt>
                <c:pt idx="355">
                  <c:v>3.2188836485147476E-8</c:v>
                </c:pt>
                <c:pt idx="356">
                  <c:v>3.2188836485147476E-8</c:v>
                </c:pt>
                <c:pt idx="357">
                  <c:v>3.2188836485147476E-8</c:v>
                </c:pt>
                <c:pt idx="358">
                  <c:v>3.1606759876012802E-8</c:v>
                </c:pt>
                <c:pt idx="359">
                  <c:v>3.1606759876012802E-8</c:v>
                </c:pt>
                <c:pt idx="360">
                  <c:v>3.1606759876012802E-8</c:v>
                </c:pt>
                <c:pt idx="361">
                  <c:v>3.1606759876012802E-8</c:v>
                </c:pt>
                <c:pt idx="362">
                  <c:v>3.1606759876012802E-8</c:v>
                </c:pt>
                <c:pt idx="363">
                  <c:v>3.1606759876012802E-8</c:v>
                </c:pt>
                <c:pt idx="364">
                  <c:v>3.1606759876012802E-8</c:v>
                </c:pt>
                <c:pt idx="365">
                  <c:v>3.1606759876012802E-8</c:v>
                </c:pt>
                <c:pt idx="366">
                  <c:v>3.1606759876012802E-8</c:v>
                </c:pt>
                <c:pt idx="367">
                  <c:v>3.1606759876012802E-8</c:v>
                </c:pt>
                <c:pt idx="368">
                  <c:v>3.1606759876012802E-8</c:v>
                </c:pt>
                <c:pt idx="369">
                  <c:v>3.1606759876012802E-8</c:v>
                </c:pt>
                <c:pt idx="370">
                  <c:v>3.1606759876012802E-8</c:v>
                </c:pt>
                <c:pt idx="371">
                  <c:v>3.1606759876012802E-8</c:v>
                </c:pt>
                <c:pt idx="372">
                  <c:v>3.1606759876012802E-8</c:v>
                </c:pt>
                <c:pt idx="373">
                  <c:v>3.1606759876012802E-8</c:v>
                </c:pt>
                <c:pt idx="374">
                  <c:v>3.1606759876012802E-8</c:v>
                </c:pt>
                <c:pt idx="375">
                  <c:v>3.1606759876012802E-8</c:v>
                </c:pt>
                <c:pt idx="376">
                  <c:v>3.1606759876012802E-8</c:v>
                </c:pt>
                <c:pt idx="377">
                  <c:v>3.1606759876012802E-8</c:v>
                </c:pt>
                <c:pt idx="378">
                  <c:v>3.1606759876012802E-8</c:v>
                </c:pt>
                <c:pt idx="379">
                  <c:v>3.1606759876012802E-8</c:v>
                </c:pt>
                <c:pt idx="380">
                  <c:v>3.1606759876012802E-8</c:v>
                </c:pt>
                <c:pt idx="381">
                  <c:v>3.1606759876012802E-8</c:v>
                </c:pt>
                <c:pt idx="382">
                  <c:v>3.1606759876012802E-8</c:v>
                </c:pt>
                <c:pt idx="383">
                  <c:v>3.1606759876012802E-8</c:v>
                </c:pt>
                <c:pt idx="384">
                  <c:v>3.1606759876012802E-8</c:v>
                </c:pt>
                <c:pt idx="385">
                  <c:v>3.1606759876012802E-8</c:v>
                </c:pt>
                <c:pt idx="386">
                  <c:v>3.1606759876012802E-8</c:v>
                </c:pt>
                <c:pt idx="387">
                  <c:v>3.1606759876012802E-8</c:v>
                </c:pt>
                <c:pt idx="388">
                  <c:v>3.1606759876012802E-8</c:v>
                </c:pt>
                <c:pt idx="389">
                  <c:v>3.1606759876012802E-8</c:v>
                </c:pt>
                <c:pt idx="390">
                  <c:v>3.1606759876012802E-8</c:v>
                </c:pt>
                <c:pt idx="391">
                  <c:v>3.1606759876012802E-8</c:v>
                </c:pt>
                <c:pt idx="392">
                  <c:v>3.1606759876012802E-8</c:v>
                </c:pt>
                <c:pt idx="393">
                  <c:v>3.1606759876012802E-8</c:v>
                </c:pt>
                <c:pt idx="394">
                  <c:v>3.1606759876012802E-8</c:v>
                </c:pt>
                <c:pt idx="395">
                  <c:v>3.1606759876012802E-8</c:v>
                </c:pt>
                <c:pt idx="396">
                  <c:v>3.1606759876012802E-8</c:v>
                </c:pt>
                <c:pt idx="397">
                  <c:v>3.1606759876012802E-8</c:v>
                </c:pt>
                <c:pt idx="398">
                  <c:v>3.1606759876012802E-8</c:v>
                </c:pt>
                <c:pt idx="399">
                  <c:v>3.1606759876012802E-8</c:v>
                </c:pt>
                <c:pt idx="400">
                  <c:v>3.1606759876012802E-8</c:v>
                </c:pt>
                <c:pt idx="401">
                  <c:v>3.1606759876012802E-8</c:v>
                </c:pt>
                <c:pt idx="402">
                  <c:v>3.1606759876012802E-8</c:v>
                </c:pt>
                <c:pt idx="403">
                  <c:v>3.1606759876012802E-8</c:v>
                </c:pt>
                <c:pt idx="404">
                  <c:v>3.1606759876012802E-8</c:v>
                </c:pt>
                <c:pt idx="405">
                  <c:v>3.1606759876012802E-8</c:v>
                </c:pt>
                <c:pt idx="406">
                  <c:v>3.1606759876012802E-8</c:v>
                </c:pt>
                <c:pt idx="407">
                  <c:v>3.1606759876012802E-8</c:v>
                </c:pt>
                <c:pt idx="408">
                  <c:v>3.1606759876012802E-8</c:v>
                </c:pt>
                <c:pt idx="409">
                  <c:v>3.1606759876012802E-8</c:v>
                </c:pt>
                <c:pt idx="410">
                  <c:v>3.1606759876012802E-8</c:v>
                </c:pt>
                <c:pt idx="411">
                  <c:v>3.1606759876012802E-8</c:v>
                </c:pt>
                <c:pt idx="412">
                  <c:v>3.1606759876012802E-8</c:v>
                </c:pt>
                <c:pt idx="413">
                  <c:v>3.1606759876012802E-8</c:v>
                </c:pt>
                <c:pt idx="414">
                  <c:v>3.1606759876012802E-8</c:v>
                </c:pt>
                <c:pt idx="415">
                  <c:v>3.1606759876012802E-8</c:v>
                </c:pt>
                <c:pt idx="416">
                  <c:v>3.1606759876012802E-8</c:v>
                </c:pt>
                <c:pt idx="417">
                  <c:v>0</c:v>
                </c:pt>
                <c:pt idx="418">
                  <c:v>150233.43899516284</c:v>
                </c:pt>
                <c:pt idx="419">
                  <c:v>150233.43899516284</c:v>
                </c:pt>
                <c:pt idx="420">
                  <c:v>150233.43899516284</c:v>
                </c:pt>
                <c:pt idx="421">
                  <c:v>150233.43899516284</c:v>
                </c:pt>
                <c:pt idx="422">
                  <c:v>150233.43899516284</c:v>
                </c:pt>
                <c:pt idx="423">
                  <c:v>150233.43899516284</c:v>
                </c:pt>
                <c:pt idx="424">
                  <c:v>150233.43899516284</c:v>
                </c:pt>
                <c:pt idx="425">
                  <c:v>150233.43899516284</c:v>
                </c:pt>
                <c:pt idx="426">
                  <c:v>150233.43899516284</c:v>
                </c:pt>
                <c:pt idx="427">
                  <c:v>150233.43899516284</c:v>
                </c:pt>
                <c:pt idx="428">
                  <c:v>150233.43899516284</c:v>
                </c:pt>
                <c:pt idx="429">
                  <c:v>150233.43899516284</c:v>
                </c:pt>
                <c:pt idx="430">
                  <c:v>150233.43899516284</c:v>
                </c:pt>
                <c:pt idx="431">
                  <c:v>150233.43899516284</c:v>
                </c:pt>
                <c:pt idx="432">
                  <c:v>150233.43899516284</c:v>
                </c:pt>
                <c:pt idx="433">
                  <c:v>150233.43899516284</c:v>
                </c:pt>
                <c:pt idx="434">
                  <c:v>150233.43899516284</c:v>
                </c:pt>
                <c:pt idx="435">
                  <c:v>150233.43899516284</c:v>
                </c:pt>
                <c:pt idx="436">
                  <c:v>150233.43899516284</c:v>
                </c:pt>
                <c:pt idx="437">
                  <c:v>150233.43899516284</c:v>
                </c:pt>
                <c:pt idx="438">
                  <c:v>150233.43899516284</c:v>
                </c:pt>
                <c:pt idx="439">
                  <c:v>150233.43899516284</c:v>
                </c:pt>
                <c:pt idx="440">
                  <c:v>150233.43899516284</c:v>
                </c:pt>
                <c:pt idx="441">
                  <c:v>150233.43899516284</c:v>
                </c:pt>
                <c:pt idx="442">
                  <c:v>150233.43899516284</c:v>
                </c:pt>
                <c:pt idx="443">
                  <c:v>150233.43899516284</c:v>
                </c:pt>
                <c:pt idx="444">
                  <c:v>150233.43899516284</c:v>
                </c:pt>
                <c:pt idx="445">
                  <c:v>150233.43899516284</c:v>
                </c:pt>
                <c:pt idx="446">
                  <c:v>150233.43899516284</c:v>
                </c:pt>
                <c:pt idx="447">
                  <c:v>150233.43899516284</c:v>
                </c:pt>
                <c:pt idx="448">
                  <c:v>150233.43899516284</c:v>
                </c:pt>
                <c:pt idx="449">
                  <c:v>150233.43899516284</c:v>
                </c:pt>
                <c:pt idx="450">
                  <c:v>150233.43899516284</c:v>
                </c:pt>
                <c:pt idx="451">
                  <c:v>150233.43899516284</c:v>
                </c:pt>
                <c:pt idx="452">
                  <c:v>150233.43899516284</c:v>
                </c:pt>
                <c:pt idx="453">
                  <c:v>150233.43899516284</c:v>
                </c:pt>
                <c:pt idx="454">
                  <c:v>150233.43899516284</c:v>
                </c:pt>
                <c:pt idx="455">
                  <c:v>150233.43899516284</c:v>
                </c:pt>
                <c:pt idx="456">
                  <c:v>150233.43899516284</c:v>
                </c:pt>
                <c:pt idx="457">
                  <c:v>150233.43899516284</c:v>
                </c:pt>
                <c:pt idx="458">
                  <c:v>150233.43899516284</c:v>
                </c:pt>
                <c:pt idx="459">
                  <c:v>150233.43899516284</c:v>
                </c:pt>
                <c:pt idx="460">
                  <c:v>150233.43899516284</c:v>
                </c:pt>
                <c:pt idx="461">
                  <c:v>150233.43899516284</c:v>
                </c:pt>
                <c:pt idx="462">
                  <c:v>150233.43899516284</c:v>
                </c:pt>
                <c:pt idx="463">
                  <c:v>150233.43899516284</c:v>
                </c:pt>
                <c:pt idx="464">
                  <c:v>150233.43899516284</c:v>
                </c:pt>
                <c:pt idx="465">
                  <c:v>150233.43899516284</c:v>
                </c:pt>
                <c:pt idx="466">
                  <c:v>150233.43899516284</c:v>
                </c:pt>
                <c:pt idx="467">
                  <c:v>150233.43899516284</c:v>
                </c:pt>
                <c:pt idx="468">
                  <c:v>150233.43899516284</c:v>
                </c:pt>
                <c:pt idx="469">
                  <c:v>150233.43899516284</c:v>
                </c:pt>
                <c:pt idx="470">
                  <c:v>150233.43899516284</c:v>
                </c:pt>
                <c:pt idx="471">
                  <c:v>150233.43899516284</c:v>
                </c:pt>
                <c:pt idx="472">
                  <c:v>150233.43899516284</c:v>
                </c:pt>
                <c:pt idx="473">
                  <c:v>150233.43899516284</c:v>
                </c:pt>
                <c:pt idx="474">
                  <c:v>150233.43899516284</c:v>
                </c:pt>
                <c:pt idx="475">
                  <c:v>150233.43899516284</c:v>
                </c:pt>
                <c:pt idx="476">
                  <c:v>150233.43899516284</c:v>
                </c:pt>
                <c:pt idx="477">
                  <c:v>150233.43899516284</c:v>
                </c:pt>
                <c:pt idx="478">
                  <c:v>150233.43899516284</c:v>
                </c:pt>
                <c:pt idx="479">
                  <c:v>150233.43899516284</c:v>
                </c:pt>
                <c:pt idx="480">
                  <c:v>150233.43899516284</c:v>
                </c:pt>
                <c:pt idx="481">
                  <c:v>150233.43899516284</c:v>
                </c:pt>
                <c:pt idx="482">
                  <c:v>150233.43899516284</c:v>
                </c:pt>
                <c:pt idx="483">
                  <c:v>150233.43899516284</c:v>
                </c:pt>
                <c:pt idx="484">
                  <c:v>150233.43899516284</c:v>
                </c:pt>
                <c:pt idx="485">
                  <c:v>150233.43899516284</c:v>
                </c:pt>
                <c:pt idx="486">
                  <c:v>150233.43899516284</c:v>
                </c:pt>
                <c:pt idx="487">
                  <c:v>150233.43899516284</c:v>
                </c:pt>
                <c:pt idx="488">
                  <c:v>150233.43899516284</c:v>
                </c:pt>
                <c:pt idx="489">
                  <c:v>150233.43899516284</c:v>
                </c:pt>
                <c:pt idx="490">
                  <c:v>150233.43899516284</c:v>
                </c:pt>
                <c:pt idx="491">
                  <c:v>150233.43899516284</c:v>
                </c:pt>
                <c:pt idx="492">
                  <c:v>150233.43899516284</c:v>
                </c:pt>
                <c:pt idx="493">
                  <c:v>150233.43899516284</c:v>
                </c:pt>
                <c:pt idx="494">
                  <c:v>150233.43899516284</c:v>
                </c:pt>
                <c:pt idx="495">
                  <c:v>150233.43899516284</c:v>
                </c:pt>
                <c:pt idx="496">
                  <c:v>150233.43899516284</c:v>
                </c:pt>
                <c:pt idx="497">
                  <c:v>150233.43899516284</c:v>
                </c:pt>
                <c:pt idx="498">
                  <c:v>150233.43899516284</c:v>
                </c:pt>
                <c:pt idx="499">
                  <c:v>150233.43899516284</c:v>
                </c:pt>
                <c:pt idx="500">
                  <c:v>150233.43899516284</c:v>
                </c:pt>
                <c:pt idx="501">
                  <c:v>150233.43899516284</c:v>
                </c:pt>
                <c:pt idx="502">
                  <c:v>150233.43899516284</c:v>
                </c:pt>
                <c:pt idx="503">
                  <c:v>150233.43899516284</c:v>
                </c:pt>
                <c:pt idx="504">
                  <c:v>150233.43899516284</c:v>
                </c:pt>
                <c:pt idx="505">
                  <c:v>150233.43899516284</c:v>
                </c:pt>
                <c:pt idx="506">
                  <c:v>150233.43899516284</c:v>
                </c:pt>
                <c:pt idx="507">
                  <c:v>150233.43899516284</c:v>
                </c:pt>
                <c:pt idx="508">
                  <c:v>150233.43899516284</c:v>
                </c:pt>
                <c:pt idx="509">
                  <c:v>150233.43899516284</c:v>
                </c:pt>
                <c:pt idx="510">
                  <c:v>150233.43899516284</c:v>
                </c:pt>
                <c:pt idx="511">
                  <c:v>150233.43899516284</c:v>
                </c:pt>
                <c:pt idx="512">
                  <c:v>150233.43899516284</c:v>
                </c:pt>
                <c:pt idx="513">
                  <c:v>150233.43899516284</c:v>
                </c:pt>
                <c:pt idx="514">
                  <c:v>150233.43899516284</c:v>
                </c:pt>
                <c:pt idx="515">
                  <c:v>150233.43899516284</c:v>
                </c:pt>
                <c:pt idx="516">
                  <c:v>150233.43899516284</c:v>
                </c:pt>
                <c:pt idx="517">
                  <c:v>150233.43899516284</c:v>
                </c:pt>
                <c:pt idx="518">
                  <c:v>150233.43899516284</c:v>
                </c:pt>
                <c:pt idx="519">
                  <c:v>150233.43899516284</c:v>
                </c:pt>
                <c:pt idx="520">
                  <c:v>150233.43899516284</c:v>
                </c:pt>
                <c:pt idx="521">
                  <c:v>150233.43899516284</c:v>
                </c:pt>
                <c:pt idx="522">
                  <c:v>150233.43899516284</c:v>
                </c:pt>
                <c:pt idx="523">
                  <c:v>150233.43899516284</c:v>
                </c:pt>
                <c:pt idx="524">
                  <c:v>150233.43899516284</c:v>
                </c:pt>
                <c:pt idx="525">
                  <c:v>150233.43899516284</c:v>
                </c:pt>
                <c:pt idx="526">
                  <c:v>150233.43899516284</c:v>
                </c:pt>
                <c:pt idx="527">
                  <c:v>150233.43899516284</c:v>
                </c:pt>
                <c:pt idx="528">
                  <c:v>150233.43899516284</c:v>
                </c:pt>
                <c:pt idx="529">
                  <c:v>150233.43899516284</c:v>
                </c:pt>
                <c:pt idx="530">
                  <c:v>150233.43899516284</c:v>
                </c:pt>
                <c:pt idx="531">
                  <c:v>150233.43899516284</c:v>
                </c:pt>
                <c:pt idx="532">
                  <c:v>150233.43899516284</c:v>
                </c:pt>
                <c:pt idx="533">
                  <c:v>150233.43899516284</c:v>
                </c:pt>
                <c:pt idx="534">
                  <c:v>150233.43899516284</c:v>
                </c:pt>
                <c:pt idx="535">
                  <c:v>150233.43899516284</c:v>
                </c:pt>
                <c:pt idx="536">
                  <c:v>150233.43899516284</c:v>
                </c:pt>
                <c:pt idx="537">
                  <c:v>150233.43899516284</c:v>
                </c:pt>
                <c:pt idx="538">
                  <c:v>150233.43899516284</c:v>
                </c:pt>
                <c:pt idx="539">
                  <c:v>150233.43899516284</c:v>
                </c:pt>
                <c:pt idx="540">
                  <c:v>150233.43899516284</c:v>
                </c:pt>
                <c:pt idx="541">
                  <c:v>150233.43899516284</c:v>
                </c:pt>
                <c:pt idx="542">
                  <c:v>150233.43899516284</c:v>
                </c:pt>
                <c:pt idx="543">
                  <c:v>150233.43899516284</c:v>
                </c:pt>
                <c:pt idx="544">
                  <c:v>150233.43899516284</c:v>
                </c:pt>
                <c:pt idx="545">
                  <c:v>150233.43899516284</c:v>
                </c:pt>
                <c:pt idx="546">
                  <c:v>150233.43899516284</c:v>
                </c:pt>
                <c:pt idx="547">
                  <c:v>150233.43899516284</c:v>
                </c:pt>
                <c:pt idx="548">
                  <c:v>150233.43899516284</c:v>
                </c:pt>
                <c:pt idx="549">
                  <c:v>150233.43899516284</c:v>
                </c:pt>
                <c:pt idx="550">
                  <c:v>150233.43899516284</c:v>
                </c:pt>
                <c:pt idx="551">
                  <c:v>150233.43899516284</c:v>
                </c:pt>
                <c:pt idx="552">
                  <c:v>150233.43899516284</c:v>
                </c:pt>
                <c:pt idx="553">
                  <c:v>150233.43899516284</c:v>
                </c:pt>
                <c:pt idx="554">
                  <c:v>150233.43899516284</c:v>
                </c:pt>
                <c:pt idx="555">
                  <c:v>150233.43899516284</c:v>
                </c:pt>
                <c:pt idx="556">
                  <c:v>150233.43899516284</c:v>
                </c:pt>
                <c:pt idx="557">
                  <c:v>150233.43899516284</c:v>
                </c:pt>
                <c:pt idx="558">
                  <c:v>150233.43899516284</c:v>
                </c:pt>
                <c:pt idx="559">
                  <c:v>150233.43899516284</c:v>
                </c:pt>
                <c:pt idx="560">
                  <c:v>150233.43899516284</c:v>
                </c:pt>
                <c:pt idx="561">
                  <c:v>150233.43899516284</c:v>
                </c:pt>
                <c:pt idx="562">
                  <c:v>150233.43899516284</c:v>
                </c:pt>
                <c:pt idx="563">
                  <c:v>150233.43899516284</c:v>
                </c:pt>
                <c:pt idx="564">
                  <c:v>150233.43899516284</c:v>
                </c:pt>
                <c:pt idx="565">
                  <c:v>150233.43899516284</c:v>
                </c:pt>
                <c:pt idx="566">
                  <c:v>150233.43899516284</c:v>
                </c:pt>
                <c:pt idx="567">
                  <c:v>150233.43899516284</c:v>
                </c:pt>
                <c:pt idx="568">
                  <c:v>150233.43899516284</c:v>
                </c:pt>
                <c:pt idx="569">
                  <c:v>150233.43899516284</c:v>
                </c:pt>
                <c:pt idx="570">
                  <c:v>150233.43899516284</c:v>
                </c:pt>
                <c:pt idx="571">
                  <c:v>150233.43899516284</c:v>
                </c:pt>
                <c:pt idx="572">
                  <c:v>150233.43899516284</c:v>
                </c:pt>
                <c:pt idx="573">
                  <c:v>150233.43899516284</c:v>
                </c:pt>
                <c:pt idx="574">
                  <c:v>150233.43899516284</c:v>
                </c:pt>
                <c:pt idx="575">
                  <c:v>150233.43899516284</c:v>
                </c:pt>
                <c:pt idx="576">
                  <c:v>150233.43899516284</c:v>
                </c:pt>
                <c:pt idx="577">
                  <c:v>150233.43899516284</c:v>
                </c:pt>
                <c:pt idx="578">
                  <c:v>150233.43899516284</c:v>
                </c:pt>
                <c:pt idx="579">
                  <c:v>150233.43899516284</c:v>
                </c:pt>
                <c:pt idx="580">
                  <c:v>150233.43899516284</c:v>
                </c:pt>
                <c:pt idx="581">
                  <c:v>150233.43899516284</c:v>
                </c:pt>
                <c:pt idx="582">
                  <c:v>150233.43899516284</c:v>
                </c:pt>
                <c:pt idx="583">
                  <c:v>150233.43899516284</c:v>
                </c:pt>
                <c:pt idx="584">
                  <c:v>150233.43899516284</c:v>
                </c:pt>
                <c:pt idx="585">
                  <c:v>150233.43899516284</c:v>
                </c:pt>
                <c:pt idx="586">
                  <c:v>150233.43899516284</c:v>
                </c:pt>
                <c:pt idx="587">
                  <c:v>150233.43899516284</c:v>
                </c:pt>
                <c:pt idx="588">
                  <c:v>150233.43899516284</c:v>
                </c:pt>
                <c:pt idx="589">
                  <c:v>150233.43899516284</c:v>
                </c:pt>
                <c:pt idx="590">
                  <c:v>150233.43899516284</c:v>
                </c:pt>
                <c:pt idx="591">
                  <c:v>150233.43899516284</c:v>
                </c:pt>
                <c:pt idx="592">
                  <c:v>150233.43899516284</c:v>
                </c:pt>
                <c:pt idx="593">
                  <c:v>150233.43899516284</c:v>
                </c:pt>
                <c:pt idx="594">
                  <c:v>150233.43899516284</c:v>
                </c:pt>
                <c:pt idx="595">
                  <c:v>150233.43899516284</c:v>
                </c:pt>
                <c:pt idx="596">
                  <c:v>150233.43899516284</c:v>
                </c:pt>
                <c:pt idx="597">
                  <c:v>150233.43899516284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1C-4C79-A52D-338525FC4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lang="ja-JP" sz="14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経過年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tickLblSkip val="60"/>
        <c:noMultiLvlLbl val="1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w="4763">
              <a:solidFill>
                <a:srgbClr val="DFE5E8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r>
                  <a:rPr lang="ja-JP" sz="14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円／月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legendEntry>
        <c:idx val="2"/>
        <c:delete val="1"/>
      </c:legendEntry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/>
          <a:lstStyle/>
          <a:p>
            <a:r>
              <a:rPr lang="ja-JP">
                <a:latin typeface="Meiryo UI" panose="020B0604030504040204" pitchFamily="50" charset="-128"/>
                <a:ea typeface="Meiryo UI" panose="020B0604030504040204" pitchFamily="50" charset="-128"/>
              </a:rPr>
              <a:t>通常返済の内訳（繰上返済あり・選択方式）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利息（繰上あり）</c:v>
          </c:tx>
          <c:spPr>
            <a:solidFill>
              <a:srgbClr val="F4A0A0"/>
            </a:solidFill>
            <a:ln w="0">
              <a:solidFill>
                <a:srgbClr val="F4A0A0"/>
              </a:solidFill>
            </a:ln>
          </c:spPr>
          <c:invertIfNegative val="0"/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結果サマリー!$R$6:$R$603</c:f>
              <c:numCache>
                <c:formatCode>#,##0</c:formatCode>
                <c:ptCount val="598"/>
                <c:pt idx="0">
                  <c:v>32375</c:v>
                </c:pt>
                <c:pt idx="1">
                  <c:v>32311.887803469461</c:v>
                </c:pt>
                <c:pt idx="2">
                  <c:v>32248.717228157126</c:v>
                </c:pt>
                <c:pt idx="3">
                  <c:v>32185.488220062631</c:v>
                </c:pt>
                <c:pt idx="4">
                  <c:v>32122.200725135644</c:v>
                </c:pt>
                <c:pt idx="5">
                  <c:v>32058.85468927585</c:v>
                </c:pt>
                <c:pt idx="6">
                  <c:v>31995.450058332892</c:v>
                </c:pt>
                <c:pt idx="7">
                  <c:v>31931.986778106311</c:v>
                </c:pt>
                <c:pt idx="8">
                  <c:v>31868.464794345517</c:v>
                </c:pt>
                <c:pt idx="9">
                  <c:v>31804.884052749741</c:v>
                </c:pt>
                <c:pt idx="10">
                  <c:v>31741.244498967993</c:v>
                </c:pt>
                <c:pt idx="11">
                  <c:v>31677.546078599</c:v>
                </c:pt>
                <c:pt idx="12">
                  <c:v>31613.788737191164</c:v>
                </c:pt>
                <c:pt idx="13">
                  <c:v>31549.972420242528</c:v>
                </c:pt>
                <c:pt idx="14">
                  <c:v>31486.097073200708</c:v>
                </c:pt>
                <c:pt idx="15">
                  <c:v>31422.162641462874</c:v>
                </c:pt>
                <c:pt idx="16">
                  <c:v>31358.169070375679</c:v>
                </c:pt>
                <c:pt idx="17">
                  <c:v>31294.116305235239</c:v>
                </c:pt>
                <c:pt idx="18">
                  <c:v>31230.004291287041</c:v>
                </c:pt>
                <c:pt idx="19">
                  <c:v>31165.832973725945</c:v>
                </c:pt>
                <c:pt idx="20">
                  <c:v>31101.602297696096</c:v>
                </c:pt>
                <c:pt idx="21">
                  <c:v>31037.312208290925</c:v>
                </c:pt>
                <c:pt idx="22">
                  <c:v>30972.96265055305</c:v>
                </c:pt>
                <c:pt idx="23">
                  <c:v>30908.553569474272</c:v>
                </c:pt>
                <c:pt idx="24">
                  <c:v>30844.084909995494</c:v>
                </c:pt>
                <c:pt idx="25">
                  <c:v>30779.5566170067</c:v>
                </c:pt>
                <c:pt idx="26">
                  <c:v>30714.96863534689</c:v>
                </c:pt>
                <c:pt idx="27">
                  <c:v>30650.320909804042</c:v>
                </c:pt>
                <c:pt idx="28">
                  <c:v>30585.61338511507</c:v>
                </c:pt>
                <c:pt idx="29">
                  <c:v>30520.846005965763</c:v>
                </c:pt>
                <c:pt idx="30">
                  <c:v>30456.01871699074</c:v>
                </c:pt>
                <c:pt idx="31">
                  <c:v>30391.131462773414</c:v>
                </c:pt>
                <c:pt idx="32">
                  <c:v>30326.184187845938</c:v>
                </c:pt>
                <c:pt idx="33">
                  <c:v>30130.981683354214</c:v>
                </c:pt>
                <c:pt idx="34">
                  <c:v>30065.793769880776</c:v>
                </c:pt>
                <c:pt idx="35">
                  <c:v>30000.545557587375</c:v>
                </c:pt>
                <c:pt idx="36">
                  <c:v>29935.236990697598</c:v>
                </c:pt>
                <c:pt idx="37">
                  <c:v>29869.868013383457</c:v>
                </c:pt>
                <c:pt idx="38">
                  <c:v>29804.438569765291</c:v>
                </c:pt>
                <c:pt idx="39">
                  <c:v>29738.948603911787</c:v>
                </c:pt>
                <c:pt idx="40">
                  <c:v>29673.398059839863</c:v>
                </c:pt>
                <c:pt idx="41">
                  <c:v>29607.786881514668</c:v>
                </c:pt>
                <c:pt idx="42">
                  <c:v>29542.115012849532</c:v>
                </c:pt>
                <c:pt idx="43">
                  <c:v>29476.382397705875</c:v>
                </c:pt>
                <c:pt idx="44">
                  <c:v>29410.588979893208</c:v>
                </c:pt>
                <c:pt idx="45">
                  <c:v>29344.73470316907</c:v>
                </c:pt>
                <c:pt idx="46">
                  <c:v>29278.819511238962</c:v>
                </c:pt>
                <c:pt idx="47">
                  <c:v>29212.843347756312</c:v>
                </c:pt>
                <c:pt idx="48">
                  <c:v>29146.806156322447</c:v>
                </c:pt>
                <c:pt idx="49">
                  <c:v>29080.707880486501</c:v>
                </c:pt>
                <c:pt idx="50">
                  <c:v>29014.54846374541</c:v>
                </c:pt>
                <c:pt idx="51">
                  <c:v>28948.327849543832</c:v>
                </c:pt>
                <c:pt idx="52">
                  <c:v>28882.045981274117</c:v>
                </c:pt>
                <c:pt idx="53">
                  <c:v>28815.702802276257</c:v>
                </c:pt>
                <c:pt idx="54">
                  <c:v>28749.298255837817</c:v>
                </c:pt>
                <c:pt idx="55">
                  <c:v>28682.832285193927</c:v>
                </c:pt>
                <c:pt idx="56">
                  <c:v>28616.304833527189</c:v>
                </c:pt>
                <c:pt idx="57">
                  <c:v>28549.71584396766</c:v>
                </c:pt>
                <c:pt idx="58">
                  <c:v>57901.047881965751</c:v>
                </c:pt>
                <c:pt idx="59">
                  <c:v>57773.586714390687</c:v>
                </c:pt>
                <c:pt idx="60">
                  <c:v>57645.860002716501</c:v>
                </c:pt>
                <c:pt idx="61">
                  <c:v>57517.867193726335</c:v>
                </c:pt>
                <c:pt idx="62">
                  <c:v>57389.607733050776</c:v>
                </c:pt>
                <c:pt idx="63">
                  <c:v>57261.081065165468</c:v>
                </c:pt>
                <c:pt idx="64">
                  <c:v>57132.286633388743</c:v>
                </c:pt>
                <c:pt idx="65">
                  <c:v>57003.223879879144</c:v>
                </c:pt>
                <c:pt idx="66">
                  <c:v>56873.892245633062</c:v>
                </c:pt>
                <c:pt idx="67">
                  <c:v>56744.291170482313</c:v>
                </c:pt>
                <c:pt idx="68">
                  <c:v>56614.420093091663</c:v>
                </c:pt>
                <c:pt idx="69">
                  <c:v>56484.278450956444</c:v>
                </c:pt>
                <c:pt idx="70">
                  <c:v>56353.865680400108</c:v>
                </c:pt>
                <c:pt idx="71">
                  <c:v>56223.181216571778</c:v>
                </c:pt>
                <c:pt idx="72">
                  <c:v>56092.224493443813</c:v>
                </c:pt>
                <c:pt idx="73">
                  <c:v>55960.994943809317</c:v>
                </c:pt>
                <c:pt idx="74">
                  <c:v>55829.491999279759</c:v>
                </c:pt>
                <c:pt idx="75">
                  <c:v>55697.715090282429</c:v>
                </c:pt>
                <c:pt idx="76">
                  <c:v>55565.663646058027</c:v>
                </c:pt>
                <c:pt idx="77">
                  <c:v>55433.337094658149</c:v>
                </c:pt>
                <c:pt idx="78">
                  <c:v>55300.734862942867</c:v>
                </c:pt>
                <c:pt idx="79">
                  <c:v>55167.856376578166</c:v>
                </c:pt>
                <c:pt idx="80">
                  <c:v>55034.701060033549</c:v>
                </c:pt>
                <c:pt idx="81">
                  <c:v>54901.268336579458</c:v>
                </c:pt>
                <c:pt idx="82">
                  <c:v>54767.557628284827</c:v>
                </c:pt>
                <c:pt idx="83">
                  <c:v>54633.568356014592</c:v>
                </c:pt>
                <c:pt idx="84">
                  <c:v>54499.299939427139</c:v>
                </c:pt>
                <c:pt idx="85">
                  <c:v>54364.751796971774</c:v>
                </c:pt>
                <c:pt idx="86">
                  <c:v>54229.923345886309</c:v>
                </c:pt>
                <c:pt idx="87">
                  <c:v>54094.814002194405</c:v>
                </c:pt>
                <c:pt idx="88">
                  <c:v>53959.423180703154</c:v>
                </c:pt>
                <c:pt idx="89">
                  <c:v>53823.750295000464</c:v>
                </c:pt>
                <c:pt idx="90">
                  <c:v>53687.794757452553</c:v>
                </c:pt>
                <c:pt idx="91">
                  <c:v>53551.555979201417</c:v>
                </c:pt>
                <c:pt idx="92">
                  <c:v>53415.033370162251</c:v>
                </c:pt>
                <c:pt idx="93">
                  <c:v>53278.226339020934</c:v>
                </c:pt>
                <c:pt idx="94">
                  <c:v>53141.134293231407</c:v>
                </c:pt>
                <c:pt idx="95">
                  <c:v>53003.756639013147</c:v>
                </c:pt>
                <c:pt idx="96">
                  <c:v>52866.092781348591</c:v>
                </c:pt>
                <c:pt idx="97">
                  <c:v>52728.142123980571</c:v>
                </c:pt>
                <c:pt idx="98">
                  <c:v>52589.904069409706</c:v>
                </c:pt>
                <c:pt idx="99">
                  <c:v>52451.378018891824</c:v>
                </c:pt>
                <c:pt idx="100">
                  <c:v>52312.563372435347</c:v>
                </c:pt>
                <c:pt idx="101">
                  <c:v>52173.459528798769</c:v>
                </c:pt>
                <c:pt idx="102">
                  <c:v>52034.065885487937</c:v>
                </c:pt>
                <c:pt idx="103">
                  <c:v>51894.381838753536</c:v>
                </c:pt>
                <c:pt idx="104">
                  <c:v>51754.406783588456</c:v>
                </c:pt>
                <c:pt idx="105">
                  <c:v>51614.140113725094</c:v>
                </c:pt>
                <c:pt idx="106">
                  <c:v>51473.581221632863</c:v>
                </c:pt>
                <c:pt idx="107">
                  <c:v>51332.729498515437</c:v>
                </c:pt>
                <c:pt idx="108">
                  <c:v>51191.584334308187</c:v>
                </c:pt>
                <c:pt idx="109">
                  <c:v>51050.1451176755</c:v>
                </c:pt>
                <c:pt idx="110">
                  <c:v>50908.411236008164</c:v>
                </c:pt>
                <c:pt idx="111">
                  <c:v>50766.38207542069</c:v>
                </c:pt>
                <c:pt idx="112">
                  <c:v>50624.057020748653</c:v>
                </c:pt>
                <c:pt idx="113">
                  <c:v>50481.435455546052</c:v>
                </c:pt>
                <c:pt idx="114">
                  <c:v>50338.516762082611</c:v>
                </c:pt>
                <c:pt idx="115">
                  <c:v>50195.300321341136</c:v>
                </c:pt>
                <c:pt idx="116">
                  <c:v>50051.785513014758</c:v>
                </c:pt>
                <c:pt idx="117">
                  <c:v>49907.971715504384</c:v>
                </c:pt>
                <c:pt idx="118">
                  <c:v>59716.629967099027</c:v>
                </c:pt>
                <c:pt idx="119">
                  <c:v>59553.289060409203</c:v>
                </c:pt>
                <c:pt idx="120">
                  <c:v>59389.539801452636</c:v>
                </c:pt>
                <c:pt idx="121">
                  <c:v>59225.381169348693</c:v>
                </c:pt>
                <c:pt idx="122">
                  <c:v>59060.812140664486</c:v>
                </c:pt>
                <c:pt idx="123">
                  <c:v>58895.831689408573</c:v>
                </c:pt>
                <c:pt idx="124">
                  <c:v>58730.438787024519</c:v>
                </c:pt>
                <c:pt idx="125">
                  <c:v>58564.632402384486</c:v>
                </c:pt>
                <c:pt idx="126">
                  <c:v>58398.411501782866</c:v>
                </c:pt>
                <c:pt idx="127">
                  <c:v>58231.775048929754</c:v>
                </c:pt>
                <c:pt idx="128">
                  <c:v>58064.722004944495</c:v>
                </c:pt>
                <c:pt idx="129">
                  <c:v>57897.251328349281</c:v>
                </c:pt>
                <c:pt idx="130">
                  <c:v>57729.361975062573</c:v>
                </c:pt>
                <c:pt idx="131">
                  <c:v>57561.052898392642</c:v>
                </c:pt>
                <c:pt idx="132">
                  <c:v>57392.323049031045</c:v>
                </c:pt>
                <c:pt idx="133">
                  <c:v>57223.171375046048</c:v>
                </c:pt>
                <c:pt idx="134">
                  <c:v>57053.596821876075</c:v>
                </c:pt>
                <c:pt idx="135">
                  <c:v>56883.598332323192</c:v>
                </c:pt>
                <c:pt idx="136">
                  <c:v>56713.174846546412</c:v>
                </c:pt>
                <c:pt idx="137">
                  <c:v>56542.325302055193</c:v>
                </c:pt>
                <c:pt idx="138">
                  <c:v>56371.048633702761</c:v>
                </c:pt>
                <c:pt idx="139">
                  <c:v>56199.343773679429</c:v>
                </c:pt>
                <c:pt idx="140">
                  <c:v>56027.209651506048</c:v>
                </c:pt>
                <c:pt idx="141">
                  <c:v>55854.645194027231</c:v>
                </c:pt>
                <c:pt idx="142">
                  <c:v>55681.649325404724</c:v>
                </c:pt>
                <c:pt idx="143">
                  <c:v>55508.220967110654</c:v>
                </c:pt>
                <c:pt idx="144">
                  <c:v>55334.359037920854</c:v>
                </c:pt>
                <c:pt idx="145">
                  <c:v>55160.062453908067</c:v>
                </c:pt>
                <c:pt idx="146">
                  <c:v>54985.330128435256</c:v>
                </c:pt>
                <c:pt idx="147">
                  <c:v>54810.160972148762</c:v>
                </c:pt>
                <c:pt idx="148">
                  <c:v>54634.553892971548</c:v>
                </c:pt>
                <c:pt idx="149">
                  <c:v>54458.507796096404</c:v>
                </c:pt>
                <c:pt idx="150">
                  <c:v>54282.021583979069</c:v>
                </c:pt>
                <c:pt idx="151">
                  <c:v>54105.094156331434</c:v>
                </c:pt>
                <c:pt idx="152">
                  <c:v>53927.724410114672</c:v>
                </c:pt>
                <c:pt idx="153">
                  <c:v>53749.911239532375</c:v>
                </c:pt>
                <c:pt idx="154">
                  <c:v>53571.65353602363</c:v>
                </c:pt>
                <c:pt idx="155">
                  <c:v>53392.950188256109</c:v>
                </c:pt>
                <c:pt idx="156">
                  <c:v>53213.800082119174</c:v>
                </c:pt>
                <c:pt idx="157">
                  <c:v>53034.202100716888</c:v>
                </c:pt>
                <c:pt idx="158">
                  <c:v>52854.155124361103</c:v>
                </c:pt>
                <c:pt idx="159">
                  <c:v>52673.658030564431</c:v>
                </c:pt>
                <c:pt idx="160">
                  <c:v>52492.709694033263</c:v>
                </c:pt>
                <c:pt idx="161">
                  <c:v>52311.308986660762</c:v>
                </c:pt>
                <c:pt idx="162">
                  <c:v>52129.45477751983</c:v>
                </c:pt>
                <c:pt idx="163">
                  <c:v>51947.145932856052</c:v>
                </c:pt>
                <c:pt idx="164">
                  <c:v>51764.381316080609</c:v>
                </c:pt>
                <c:pt idx="165">
                  <c:v>51581.15978776323</c:v>
                </c:pt>
                <c:pt idx="166">
                  <c:v>51397.480205625063</c:v>
                </c:pt>
                <c:pt idx="167">
                  <c:v>51213.341424531543</c:v>
                </c:pt>
                <c:pt idx="168">
                  <c:v>51028.742296485296</c:v>
                </c:pt>
                <c:pt idx="169">
                  <c:v>50843.681670618935</c:v>
                </c:pt>
                <c:pt idx="170">
                  <c:v>50658.158393187892</c:v>
                </c:pt>
                <c:pt idx="171">
                  <c:v>50472.171307563287</c:v>
                </c:pt>
                <c:pt idx="172">
                  <c:v>50285.719254224619</c:v>
                </c:pt>
                <c:pt idx="173">
                  <c:v>50098.801070752605</c:v>
                </c:pt>
                <c:pt idx="174">
                  <c:v>49911.415591821897</c:v>
                </c:pt>
                <c:pt idx="175">
                  <c:v>49723.561649193871</c:v>
                </c:pt>
                <c:pt idx="176">
                  <c:v>49535.238071709267</c:v>
                </c:pt>
                <c:pt idx="177">
                  <c:v>49346.443685280967</c:v>
                </c:pt>
                <c:pt idx="178">
                  <c:v>65542.903083848796</c:v>
                </c:pt>
                <c:pt idx="179">
                  <c:v>65311.8519890889</c:v>
                </c:pt>
                <c:pt idx="180">
                  <c:v>65080.030724013144</c:v>
                </c:pt>
                <c:pt idx="181">
                  <c:v>64847.436721387145</c:v>
                </c:pt>
                <c:pt idx="182">
                  <c:v>64614.067405419053</c:v>
                </c:pt>
                <c:pt idx="183">
                  <c:v>64379.920191731071</c:v>
                </c:pt>
                <c:pt idx="184">
                  <c:v>64144.992487330783</c:v>
                </c:pt>
                <c:pt idx="185">
                  <c:v>63909.281690582509</c:v>
                </c:pt>
                <c:pt idx="186">
                  <c:v>63672.785191178402</c:v>
                </c:pt>
                <c:pt idx="187">
                  <c:v>63435.500370109599</c:v>
                </c:pt>
                <c:pt idx="188">
                  <c:v>63197.424599637256</c:v>
                </c:pt>
                <c:pt idx="189">
                  <c:v>62958.555243263334</c:v>
                </c:pt>
                <c:pt idx="190">
                  <c:v>62718.889655701496</c:v>
                </c:pt>
                <c:pt idx="191">
                  <c:v>62478.425182847779</c:v>
                </c:pt>
                <c:pt idx="192">
                  <c:v>62237.159161751224</c:v>
                </c:pt>
                <c:pt idx="193">
                  <c:v>61995.088920584349</c:v>
                </c:pt>
                <c:pt idx="194">
                  <c:v>61752.211778613571</c:v>
                </c:pt>
                <c:pt idx="195">
                  <c:v>61508.525046169576</c:v>
                </c:pt>
                <c:pt idx="196">
                  <c:v>61264.026024617422</c:v>
                </c:pt>
                <c:pt idx="197">
                  <c:v>61018.712006326758</c:v>
                </c:pt>
                <c:pt idx="198">
                  <c:v>60772.580274641783</c:v>
                </c:pt>
                <c:pt idx="199">
                  <c:v>60525.628103851202</c:v>
                </c:pt>
                <c:pt idx="200">
                  <c:v>60277.852759157999</c:v>
                </c:pt>
                <c:pt idx="201">
                  <c:v>60029.251496649136</c:v>
                </c:pt>
                <c:pt idx="202">
                  <c:v>59779.82156326525</c:v>
                </c:pt>
                <c:pt idx="203">
                  <c:v>59529.560196770086</c:v>
                </c:pt>
                <c:pt idx="204">
                  <c:v>59278.464625719935</c:v>
                </c:pt>
                <c:pt idx="205">
                  <c:v>59026.532069432949</c:v>
                </c:pt>
                <c:pt idx="206">
                  <c:v>58773.759737958339</c:v>
                </c:pt>
                <c:pt idx="207">
                  <c:v>58520.144832045487</c:v>
                </c:pt>
                <c:pt idx="208">
                  <c:v>58265.684543112926</c:v>
                </c:pt>
                <c:pt idx="209">
                  <c:v>58010.376053217253</c:v>
                </c:pt>
                <c:pt idx="210">
                  <c:v>57754.216535021929</c:v>
                </c:pt>
                <c:pt idx="211">
                  <c:v>57497.203151765949</c:v>
                </c:pt>
                <c:pt idx="212">
                  <c:v>57239.333057232456</c:v>
                </c:pt>
                <c:pt idx="213">
                  <c:v>56980.603395717168</c:v>
                </c:pt>
                <c:pt idx="214">
                  <c:v>56721.011301996848</c:v>
                </c:pt>
                <c:pt idx="215">
                  <c:v>56460.553901297448</c:v>
                </c:pt>
                <c:pt idx="216">
                  <c:v>56199.228309262398</c:v>
                </c:pt>
                <c:pt idx="217">
                  <c:v>55937.031631920552</c:v>
                </c:pt>
                <c:pt idx="218">
                  <c:v>55673.960965654238</c:v>
                </c:pt>
                <c:pt idx="219">
                  <c:v>55410.013397167037</c:v>
                </c:pt>
                <c:pt idx="220">
                  <c:v>55145.186003451534</c:v>
                </c:pt>
                <c:pt idx="221">
                  <c:v>54879.475851756994</c:v>
                </c:pt>
                <c:pt idx="222">
                  <c:v>54612.879999556804</c:v>
                </c:pt>
                <c:pt idx="223">
                  <c:v>54345.395494515942</c:v>
                </c:pt>
                <c:pt idx="224">
                  <c:v>54077.019374458272</c:v>
                </c:pt>
                <c:pt idx="225">
                  <c:v>53807.748667333748</c:v>
                </c:pt>
                <c:pt idx="226">
                  <c:v>53537.580391185482</c:v>
                </c:pt>
                <c:pt idx="227">
                  <c:v>53266.511554116725</c:v>
                </c:pt>
                <c:pt idx="228">
                  <c:v>52994.53915425772</c:v>
                </c:pt>
                <c:pt idx="229">
                  <c:v>52721.660179732535</c:v>
                </c:pt>
                <c:pt idx="230">
                  <c:v>52447.871608625595</c:v>
                </c:pt>
                <c:pt idx="231">
                  <c:v>52173.170408948296</c:v>
                </c:pt>
                <c:pt idx="232">
                  <c:v>51897.553538605403</c:v>
                </c:pt>
                <c:pt idx="233">
                  <c:v>51621.017945361375</c:v>
                </c:pt>
                <c:pt idx="234">
                  <c:v>51343.560566806525</c:v>
                </c:pt>
                <c:pt idx="235">
                  <c:v>51065.178330323164</c:v>
                </c:pt>
                <c:pt idx="236">
                  <c:v>50785.868153051524</c:v>
                </c:pt>
                <c:pt idx="237">
                  <c:v>50505.626941855648</c:v>
                </c:pt>
                <c:pt idx="238">
                  <c:v>62780.564491611403</c:v>
                </c:pt>
                <c:pt idx="239">
                  <c:v>62449.372685178103</c:v>
                </c:pt>
                <c:pt idx="240">
                  <c:v>62116.800912884675</c:v>
                </c:pt>
                <c:pt idx="241">
                  <c:v>61782.843424873347</c:v>
                </c:pt>
                <c:pt idx="242">
                  <c:v>61447.494447328652</c:v>
                </c:pt>
                <c:pt idx="243">
                  <c:v>61110.748182377509</c:v>
                </c:pt>
                <c:pt idx="244">
                  <c:v>60772.598807989074</c:v>
                </c:pt>
                <c:pt idx="245">
                  <c:v>60433.040477874019</c:v>
                </c:pt>
                <c:pt idx="246">
                  <c:v>60092.067321383482</c:v>
                </c:pt>
                <c:pt idx="247">
                  <c:v>59749.673443407577</c:v>
                </c:pt>
                <c:pt idx="248">
                  <c:v>59405.852924273437</c:v>
                </c:pt>
                <c:pt idx="249">
                  <c:v>59060.599819642906</c:v>
                </c:pt>
                <c:pt idx="250">
                  <c:v>58713.908160409745</c:v>
                </c:pt>
                <c:pt idx="251">
                  <c:v>58365.771952596457</c:v>
                </c:pt>
                <c:pt idx="252">
                  <c:v>58016.185177250598</c:v>
                </c:pt>
                <c:pt idx="253">
                  <c:v>57665.141790340807</c:v>
                </c:pt>
                <c:pt idx="254">
                  <c:v>57312.635722652223</c:v>
                </c:pt>
                <c:pt idx="255">
                  <c:v>56958.660879681593</c:v>
                </c:pt>
                <c:pt idx="256">
                  <c:v>56603.211141531938</c:v>
                </c:pt>
                <c:pt idx="257">
                  <c:v>56246.280362806639</c:v>
                </c:pt>
                <c:pt idx="258">
                  <c:v>55887.862372503332</c:v>
                </c:pt>
                <c:pt idx="259">
                  <c:v>55527.950973907085</c:v>
                </c:pt>
                <c:pt idx="260">
                  <c:v>55166.539944483353</c:v>
                </c:pt>
                <c:pt idx="261">
                  <c:v>54803.623035770368</c:v>
                </c:pt>
                <c:pt idx="262">
                  <c:v>54439.19397327106</c:v>
                </c:pt>
                <c:pt idx="263">
                  <c:v>54073.246456344692</c:v>
                </c:pt>
                <c:pt idx="264">
                  <c:v>53705.774158097782</c:v>
                </c:pt>
                <c:pt idx="265">
                  <c:v>53336.770725274844</c:v>
                </c:pt>
                <c:pt idx="266">
                  <c:v>52966.229778148489</c:v>
                </c:pt>
                <c:pt idx="267">
                  <c:v>52594.144910409093</c:v>
                </c:pt>
                <c:pt idx="268">
                  <c:v>52220.509689054132</c:v>
                </c:pt>
                <c:pt idx="269">
                  <c:v>51845.317654276841</c:v>
                </c:pt>
                <c:pt idx="270">
                  <c:v>51468.562319354649</c:v>
                </c:pt>
                <c:pt idx="271">
                  <c:v>51090.237170536951</c:v>
                </c:pt>
                <c:pt idx="272">
                  <c:v>50710.335666932522</c:v>
                </c:pt>
                <c:pt idx="273">
                  <c:v>50328.851240396405</c:v>
                </c:pt>
                <c:pt idx="274">
                  <c:v>49945.777295416374</c:v>
                </c:pt>
                <c:pt idx="275">
                  <c:v>49561.107208998939</c:v>
                </c:pt>
                <c:pt idx="276">
                  <c:v>49174.834330554761</c:v>
                </c:pt>
                <c:pt idx="277">
                  <c:v>48786.951981783728</c:v>
                </c:pt>
                <c:pt idx="278">
                  <c:v>48397.453456559488</c:v>
                </c:pt>
                <c:pt idx="279">
                  <c:v>48006.332020813483</c:v>
                </c:pt>
                <c:pt idx="280">
                  <c:v>47613.58091241854</c:v>
                </c:pt>
                <c:pt idx="281">
                  <c:v>47219.193341071943</c:v>
                </c:pt>
                <c:pt idx="282">
                  <c:v>46823.162488178066</c:v>
                </c:pt>
                <c:pt idx="283">
                  <c:v>46425.481506730459</c:v>
                </c:pt>
                <c:pt idx="284">
                  <c:v>46026.143521193502</c:v>
                </c:pt>
                <c:pt idx="285">
                  <c:v>45625.141627383469</c:v>
                </c:pt>
                <c:pt idx="286">
                  <c:v>45222.468892349229</c:v>
                </c:pt>
                <c:pt idx="287">
                  <c:v>44818.118354252336</c:v>
                </c:pt>
                <c:pt idx="288">
                  <c:v>44412.083022246719</c:v>
                </c:pt>
                <c:pt idx="289">
                  <c:v>44004.355876357738</c:v>
                </c:pt>
                <c:pt idx="290">
                  <c:v>43594.929867360894</c:v>
                </c:pt>
                <c:pt idx="291">
                  <c:v>43183.797916659889</c:v>
                </c:pt>
                <c:pt idx="292">
                  <c:v>42770.952916164293</c:v>
                </c:pt>
                <c:pt idx="293">
                  <c:v>42356.387728166635</c:v>
                </c:pt>
                <c:pt idx="294">
                  <c:v>41940.095185218997</c:v>
                </c:pt>
                <c:pt idx="295">
                  <c:v>41522.068090009059</c:v>
                </c:pt>
                <c:pt idx="296">
                  <c:v>41102.299215235755</c:v>
                </c:pt>
                <c:pt idx="297">
                  <c:v>40680.781303484233</c:v>
                </c:pt>
                <c:pt idx="298">
                  <c:v>40257.507067100414</c:v>
                </c:pt>
                <c:pt idx="299">
                  <c:v>39832.469188064992</c:v>
                </c:pt>
                <c:pt idx="300">
                  <c:v>39405.660317866917</c:v>
                </c:pt>
                <c:pt idx="301">
                  <c:v>38977.07307737635</c:v>
                </c:pt>
                <c:pt idx="302">
                  <c:v>38546.700056717083</c:v>
                </c:pt>
                <c:pt idx="303">
                  <c:v>38114.533815138391</c:v>
                </c:pt>
                <c:pt idx="304">
                  <c:v>37680.566880886465</c:v>
                </c:pt>
                <c:pt idx="305">
                  <c:v>37244.791751075143</c:v>
                </c:pt>
                <c:pt idx="306">
                  <c:v>36807.200891556284</c:v>
                </c:pt>
                <c:pt idx="307">
                  <c:v>36367.786736789429</c:v>
                </c:pt>
                <c:pt idx="308">
                  <c:v>35926.541689711041</c:v>
                </c:pt>
                <c:pt idx="309">
                  <c:v>35483.458121603158</c:v>
                </c:pt>
                <c:pt idx="310">
                  <c:v>35038.528371961504</c:v>
                </c:pt>
                <c:pt idx="311">
                  <c:v>34591.744748363002</c:v>
                </c:pt>
                <c:pt idx="312">
                  <c:v>34143.099526332844</c:v>
                </c:pt>
                <c:pt idx="313">
                  <c:v>33692.58494921089</c:v>
                </c:pt>
                <c:pt idx="314">
                  <c:v>33240.19322801759</c:v>
                </c:pt>
                <c:pt idx="315">
                  <c:v>32785.916541319319</c:v>
                </c:pt>
                <c:pt idx="316">
                  <c:v>32329.747035093143</c:v>
                </c:pt>
                <c:pt idx="317">
                  <c:v>31871.676822591024</c:v>
                </c:pt>
                <c:pt idx="318">
                  <c:v>31411.697984203478</c:v>
                </c:pt>
                <c:pt idx="319">
                  <c:v>30949.802567322651</c:v>
                </c:pt>
                <c:pt idx="320">
                  <c:v>30485.98258620482</c:v>
                </c:pt>
                <c:pt idx="321">
                  <c:v>30020.230021832336</c:v>
                </c:pt>
                <c:pt idx="322">
                  <c:v>29552.536821774964</c:v>
                </c:pt>
                <c:pt idx="323">
                  <c:v>29082.894900050684</c:v>
                </c:pt>
                <c:pt idx="324">
                  <c:v>28611.296136985886</c:v>
                </c:pt>
                <c:pt idx="325">
                  <c:v>28137.732379074983</c:v>
                </c:pt>
                <c:pt idx="326">
                  <c:v>27662.195438839455</c:v>
                </c:pt>
                <c:pt idx="327">
                  <c:v>27184.677094686282</c:v>
                </c:pt>
                <c:pt idx="328">
                  <c:v>26705.169090765801</c:v>
                </c:pt>
                <c:pt idx="329">
                  <c:v>26223.663136828982</c:v>
                </c:pt>
                <c:pt idx="330">
                  <c:v>25740.150908084091</c:v>
                </c:pt>
                <c:pt idx="331">
                  <c:v>25254.624045052766</c:v>
                </c:pt>
                <c:pt idx="332">
                  <c:v>24767.074153425478</c:v>
                </c:pt>
                <c:pt idx="333">
                  <c:v>24277.492803916408</c:v>
                </c:pt>
                <c:pt idx="334">
                  <c:v>23785.871532117715</c:v>
                </c:pt>
                <c:pt idx="335">
                  <c:v>23292.201838353198</c:v>
                </c:pt>
                <c:pt idx="336">
                  <c:v>22796.475187531327</c:v>
                </c:pt>
                <c:pt idx="337">
                  <c:v>22298.683008997701</c:v>
                </c:pt>
                <c:pt idx="338">
                  <c:v>21798.816696386853</c:v>
                </c:pt>
                <c:pt idx="339">
                  <c:v>21296.867607473454</c:v>
                </c:pt>
                <c:pt idx="340">
                  <c:v>20792.82706402292</c:v>
                </c:pt>
                <c:pt idx="341">
                  <c:v>20286.68635164134</c:v>
                </c:pt>
                <c:pt idx="342">
                  <c:v>19778.436719624835</c:v>
                </c:pt>
                <c:pt idx="343">
                  <c:v>19268.069380808261</c:v>
                </c:pt>
                <c:pt idx="344">
                  <c:v>18755.575511413288</c:v>
                </c:pt>
                <c:pt idx="345">
                  <c:v>18240.946250895839</c:v>
                </c:pt>
                <c:pt idx="346">
                  <c:v>17724.172701792897</c:v>
                </c:pt>
                <c:pt idx="347">
                  <c:v>17205.245929568693</c:v>
                </c:pt>
                <c:pt idx="348">
                  <c:v>16684.15696246022</c:v>
                </c:pt>
                <c:pt idx="349">
                  <c:v>16160.89679132213</c:v>
                </c:pt>
                <c:pt idx="350">
                  <c:v>15635.456369470965</c:v>
                </c:pt>
                <c:pt idx="351">
                  <c:v>15107.826612528754</c:v>
                </c:pt>
                <c:pt idx="352">
                  <c:v>14577.998398265947</c:v>
                </c:pt>
                <c:pt idx="353">
                  <c:v>14045.962566443714</c:v>
                </c:pt>
                <c:pt idx="354">
                  <c:v>13511.709918655555</c:v>
                </c:pt>
                <c:pt idx="355">
                  <c:v>12975.231218168277</c:v>
                </c:pt>
                <c:pt idx="356">
                  <c:v>12436.517189762302</c:v>
                </c:pt>
                <c:pt idx="357">
                  <c:v>11895.558519571305</c:v>
                </c:pt>
                <c:pt idx="358">
                  <c:v>11352.345854921177</c:v>
                </c:pt>
                <c:pt idx="359">
                  <c:v>10806.869804168333</c:v>
                </c:pt>
                <c:pt idx="360">
                  <c:v>10259.120936537352</c:v>
                </c:pt>
                <c:pt idx="361">
                  <c:v>9709.0897819579095</c:v>
                </c:pt>
                <c:pt idx="362">
                  <c:v>9156.7668309010533</c:v>
                </c:pt>
                <c:pt idx="363">
                  <c:v>8602.1425342147922</c:v>
                </c:pt>
                <c:pt idx="364">
                  <c:v>8045.2073029590056</c:v>
                </c:pt>
                <c:pt idx="365">
                  <c:v>7485.9515082396538</c:v>
                </c:pt>
                <c:pt idx="366">
                  <c:v>6924.3654810423031</c:v>
                </c:pt>
                <c:pt idx="367">
                  <c:v>6360.4395120649651</c:v>
                </c:pt>
                <c:pt idx="368">
                  <c:v>5794.1638515502209</c:v>
                </c:pt>
                <c:pt idx="369">
                  <c:v>5225.5287091166647</c:v>
                </c:pt>
                <c:pt idx="370">
                  <c:v>4654.5242535896359</c:v>
                </c:pt>
                <c:pt idx="371">
                  <c:v>4081.1406128312447</c:v>
                </c:pt>
                <c:pt idx="372">
                  <c:v>3505.3678735696926</c:v>
                </c:pt>
                <c:pt idx="373">
                  <c:v>2927.1960812278844</c:v>
                </c:pt>
                <c:pt idx="374">
                  <c:v>2346.6152397513188</c:v>
                </c:pt>
                <c:pt idx="375">
                  <c:v>1763.6153114352674</c:v>
                </c:pt>
                <c:pt idx="376">
                  <c:v>1178.1862167512327</c:v>
                </c:pt>
                <c:pt idx="377">
                  <c:v>590.31783417268105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87-46AE-A362-C447AE1C6E58}"/>
            </c:ext>
          </c:extLst>
        </c:ser>
        <c:ser>
          <c:idx val="1"/>
          <c:order val="1"/>
          <c:tx>
            <c:v>元金（繰上あり）</c:v>
          </c:tx>
          <c:spPr>
            <a:solidFill>
              <a:srgbClr val="B8CDEF"/>
            </a:solidFill>
            <a:ln w="0">
              <a:solidFill>
                <a:srgbClr val="B8CDEF"/>
              </a:solidFill>
            </a:ln>
          </c:spPr>
          <c:invertIfNegative val="0"/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結果サマリー!$S$6:$S$603</c:f>
              <c:numCache>
                <c:formatCode>#,##0</c:formatCode>
                <c:ptCount val="598"/>
                <c:pt idx="0">
                  <c:v>68229.401654639601</c:v>
                </c:pt>
                <c:pt idx="1">
                  <c:v>68292.513851170137</c:v>
                </c:pt>
                <c:pt idx="2">
                  <c:v>68355.684426482476</c:v>
                </c:pt>
                <c:pt idx="3">
                  <c:v>68418.913434576971</c:v>
                </c:pt>
                <c:pt idx="4">
                  <c:v>68482.200929503961</c:v>
                </c:pt>
                <c:pt idx="5">
                  <c:v>68545.546965363756</c:v>
                </c:pt>
                <c:pt idx="6">
                  <c:v>68608.95159630671</c:v>
                </c:pt>
                <c:pt idx="7">
                  <c:v>68672.414876533294</c:v>
                </c:pt>
                <c:pt idx="8">
                  <c:v>68735.936860294081</c:v>
                </c:pt>
                <c:pt idx="9">
                  <c:v>68799.517601889864</c:v>
                </c:pt>
                <c:pt idx="10">
                  <c:v>68863.157155671608</c:v>
                </c:pt>
                <c:pt idx="11">
                  <c:v>68926.855576040602</c:v>
                </c:pt>
                <c:pt idx="12">
                  <c:v>68990.612917448438</c:v>
                </c:pt>
                <c:pt idx="13">
                  <c:v>69054.429234397074</c:v>
                </c:pt>
                <c:pt idx="14">
                  <c:v>69118.30458143889</c:v>
                </c:pt>
                <c:pt idx="15">
                  <c:v>69182.239013176732</c:v>
                </c:pt>
                <c:pt idx="16">
                  <c:v>69246.232584263926</c:v>
                </c:pt>
                <c:pt idx="17">
                  <c:v>69310.285349404367</c:v>
                </c:pt>
                <c:pt idx="18">
                  <c:v>69374.39736335256</c:v>
                </c:pt>
                <c:pt idx="19">
                  <c:v>69438.568680913653</c:v>
                </c:pt>
                <c:pt idx="20">
                  <c:v>69502.799356943506</c:v>
                </c:pt>
                <c:pt idx="21">
                  <c:v>69567.089446348677</c:v>
                </c:pt>
                <c:pt idx="22">
                  <c:v>69631.439004086555</c:v>
                </c:pt>
                <c:pt idx="23">
                  <c:v>69695.848085165329</c:v>
                </c:pt>
                <c:pt idx="24">
                  <c:v>69760.316744644108</c:v>
                </c:pt>
                <c:pt idx="25">
                  <c:v>69824.845037632898</c:v>
                </c:pt>
                <c:pt idx="26">
                  <c:v>69889.433019292715</c:v>
                </c:pt>
                <c:pt idx="27">
                  <c:v>69954.080744835563</c:v>
                </c:pt>
                <c:pt idx="28">
                  <c:v>70018.788269524535</c:v>
                </c:pt>
                <c:pt idx="29">
                  <c:v>70083.555648673835</c:v>
                </c:pt>
                <c:pt idx="30">
                  <c:v>70148.382937648857</c:v>
                </c:pt>
                <c:pt idx="31">
                  <c:v>70213.270191866191</c:v>
                </c:pt>
                <c:pt idx="32">
                  <c:v>70278.217466793663</c:v>
                </c:pt>
                <c:pt idx="33">
                  <c:v>70473.419971285388</c:v>
                </c:pt>
                <c:pt idx="34">
                  <c:v>70538.607884758821</c:v>
                </c:pt>
                <c:pt idx="35">
                  <c:v>70603.856097052223</c:v>
                </c:pt>
                <c:pt idx="36">
                  <c:v>70669.164663942007</c:v>
                </c:pt>
                <c:pt idx="37">
                  <c:v>70734.533641256145</c:v>
                </c:pt>
                <c:pt idx="38">
                  <c:v>70799.963084874311</c:v>
                </c:pt>
                <c:pt idx="39">
                  <c:v>70865.45305072781</c:v>
                </c:pt>
                <c:pt idx="40">
                  <c:v>70931.003594799738</c:v>
                </c:pt>
                <c:pt idx="41">
                  <c:v>70996.614773124937</c:v>
                </c:pt>
                <c:pt idx="42">
                  <c:v>71062.286641790066</c:v>
                </c:pt>
                <c:pt idx="43">
                  <c:v>71128.019256933723</c:v>
                </c:pt>
                <c:pt idx="44">
                  <c:v>71193.812674746398</c:v>
                </c:pt>
                <c:pt idx="45">
                  <c:v>71259.666951470528</c:v>
                </c:pt>
                <c:pt idx="46">
                  <c:v>71325.582143400636</c:v>
                </c:pt>
                <c:pt idx="47">
                  <c:v>71391.558306883293</c:v>
                </c:pt>
                <c:pt idx="48">
                  <c:v>71457.595498317154</c:v>
                </c:pt>
                <c:pt idx="49">
                  <c:v>71523.6937741531</c:v>
                </c:pt>
                <c:pt idx="50">
                  <c:v>71589.853190894195</c:v>
                </c:pt>
                <c:pt idx="51">
                  <c:v>71656.073805095773</c:v>
                </c:pt>
                <c:pt idx="52">
                  <c:v>71722.355673365484</c:v>
                </c:pt>
                <c:pt idx="53">
                  <c:v>71788.698852363348</c:v>
                </c:pt>
                <c:pt idx="54">
                  <c:v>71855.103398801788</c:v>
                </c:pt>
                <c:pt idx="55">
                  <c:v>71921.569369445671</c:v>
                </c:pt>
                <c:pt idx="56">
                  <c:v>71988.096821112413</c:v>
                </c:pt>
                <c:pt idx="57">
                  <c:v>72054.685810671945</c:v>
                </c:pt>
                <c:pt idx="58">
                  <c:v>61181.360436031136</c:v>
                </c:pt>
                <c:pt idx="59">
                  <c:v>61308.8216036062</c:v>
                </c:pt>
                <c:pt idx="60">
                  <c:v>61436.548315280386</c:v>
                </c:pt>
                <c:pt idx="61">
                  <c:v>61564.541124270552</c:v>
                </c:pt>
                <c:pt idx="62">
                  <c:v>61692.800584946111</c:v>
                </c:pt>
                <c:pt idx="63">
                  <c:v>61821.327252831419</c:v>
                </c:pt>
                <c:pt idx="64">
                  <c:v>61950.121684608144</c:v>
                </c:pt>
                <c:pt idx="65">
                  <c:v>62079.184438117743</c:v>
                </c:pt>
                <c:pt idx="66">
                  <c:v>62208.516072363826</c:v>
                </c:pt>
                <c:pt idx="67">
                  <c:v>62338.117147514575</c:v>
                </c:pt>
                <c:pt idx="68">
                  <c:v>62467.988224905224</c:v>
                </c:pt>
                <c:pt idx="69">
                  <c:v>62598.129867040443</c:v>
                </c:pt>
                <c:pt idx="70">
                  <c:v>62728.54263759678</c:v>
                </c:pt>
                <c:pt idx="71">
                  <c:v>62859.227101425109</c:v>
                </c:pt>
                <c:pt idx="72">
                  <c:v>62990.183824553074</c:v>
                </c:pt>
                <c:pt idx="73">
                  <c:v>63121.41337418757</c:v>
                </c:pt>
                <c:pt idx="74">
                  <c:v>63252.916318717129</c:v>
                </c:pt>
                <c:pt idx="75">
                  <c:v>63384.693227714459</c:v>
                </c:pt>
                <c:pt idx="76">
                  <c:v>63516.744671938861</c:v>
                </c:pt>
                <c:pt idx="77">
                  <c:v>63649.071223338738</c:v>
                </c:pt>
                <c:pt idx="78">
                  <c:v>63781.67345505402</c:v>
                </c:pt>
                <c:pt idx="79">
                  <c:v>63914.551941418722</c:v>
                </c:pt>
                <c:pt idx="80">
                  <c:v>64047.707257963339</c:v>
                </c:pt>
                <c:pt idx="81">
                  <c:v>64181.139981417429</c:v>
                </c:pt>
                <c:pt idx="82">
                  <c:v>64314.850689712061</c:v>
                </c:pt>
                <c:pt idx="83">
                  <c:v>64448.839961982296</c:v>
                </c:pt>
                <c:pt idx="84">
                  <c:v>64583.108378569748</c:v>
                </c:pt>
                <c:pt idx="85">
                  <c:v>64717.656521025114</c:v>
                </c:pt>
                <c:pt idx="86">
                  <c:v>64852.484972110578</c:v>
                </c:pt>
                <c:pt idx="87">
                  <c:v>64987.594315802482</c:v>
                </c:pt>
                <c:pt idx="88">
                  <c:v>65122.985137293734</c:v>
                </c:pt>
                <c:pt idx="89">
                  <c:v>65258.658022996424</c:v>
                </c:pt>
                <c:pt idx="90">
                  <c:v>65394.613560544334</c:v>
                </c:pt>
                <c:pt idx="91">
                  <c:v>65530.85233879547</c:v>
                </c:pt>
                <c:pt idx="92">
                  <c:v>65667.374947834644</c:v>
                </c:pt>
                <c:pt idx="93">
                  <c:v>65804.181978975947</c:v>
                </c:pt>
                <c:pt idx="94">
                  <c:v>65941.274024765473</c:v>
                </c:pt>
                <c:pt idx="95">
                  <c:v>66078.651678983733</c:v>
                </c:pt>
                <c:pt idx="96">
                  <c:v>66216.315536648297</c:v>
                </c:pt>
                <c:pt idx="97">
                  <c:v>66354.266194016323</c:v>
                </c:pt>
                <c:pt idx="98">
                  <c:v>66492.504248587182</c:v>
                </c:pt>
                <c:pt idx="99">
                  <c:v>66631.03029910507</c:v>
                </c:pt>
                <c:pt idx="100">
                  <c:v>66769.844945561548</c:v>
                </c:pt>
                <c:pt idx="101">
                  <c:v>66908.948789198126</c:v>
                </c:pt>
                <c:pt idx="102">
                  <c:v>67048.342432508944</c:v>
                </c:pt>
                <c:pt idx="103">
                  <c:v>67188.026479243359</c:v>
                </c:pt>
                <c:pt idx="104">
                  <c:v>67328.001534408424</c:v>
                </c:pt>
                <c:pt idx="105">
                  <c:v>67468.268204271793</c:v>
                </c:pt>
                <c:pt idx="106">
                  <c:v>67608.827096364024</c:v>
                </c:pt>
                <c:pt idx="107">
                  <c:v>67749.678819481458</c:v>
                </c:pt>
                <c:pt idx="108">
                  <c:v>67890.823983688693</c:v>
                </c:pt>
                <c:pt idx="109">
                  <c:v>68032.26320032138</c:v>
                </c:pt>
                <c:pt idx="110">
                  <c:v>68173.997081988724</c:v>
                </c:pt>
                <c:pt idx="111">
                  <c:v>68316.02624257619</c:v>
                </c:pt>
                <c:pt idx="112">
                  <c:v>68458.351297248242</c:v>
                </c:pt>
                <c:pt idx="113">
                  <c:v>68600.972862450843</c:v>
                </c:pt>
                <c:pt idx="114">
                  <c:v>68743.891555914277</c:v>
                </c:pt>
                <c:pt idx="115">
                  <c:v>68887.107996655745</c:v>
                </c:pt>
                <c:pt idx="116">
                  <c:v>69030.622804982122</c:v>
                </c:pt>
                <c:pt idx="117">
                  <c:v>69174.436602492497</c:v>
                </c:pt>
                <c:pt idx="118">
                  <c:v>65336.362675933138</c:v>
                </c:pt>
                <c:pt idx="119">
                  <c:v>65499.703582622962</c:v>
                </c:pt>
                <c:pt idx="120">
                  <c:v>65663.452841579536</c:v>
                </c:pt>
                <c:pt idx="121">
                  <c:v>65827.611473683472</c:v>
                </c:pt>
                <c:pt idx="122">
                  <c:v>65992.180502367672</c:v>
                </c:pt>
                <c:pt idx="123">
                  <c:v>66157.160953623592</c:v>
                </c:pt>
                <c:pt idx="124">
                  <c:v>66322.553856007638</c:v>
                </c:pt>
                <c:pt idx="125">
                  <c:v>66488.360240647686</c:v>
                </c:pt>
                <c:pt idx="126">
                  <c:v>66654.581141249306</c:v>
                </c:pt>
                <c:pt idx="127">
                  <c:v>66821.217594102403</c:v>
                </c:pt>
                <c:pt idx="128">
                  <c:v>66988.270638087677</c:v>
                </c:pt>
                <c:pt idx="129">
                  <c:v>67155.741314682877</c:v>
                </c:pt>
                <c:pt idx="130">
                  <c:v>67323.630667969584</c:v>
                </c:pt>
                <c:pt idx="131">
                  <c:v>67491.939744639531</c:v>
                </c:pt>
                <c:pt idx="132">
                  <c:v>67660.669594001112</c:v>
                </c:pt>
                <c:pt idx="133">
                  <c:v>67829.821267986117</c:v>
                </c:pt>
                <c:pt idx="134">
                  <c:v>67999.395821156097</c:v>
                </c:pt>
                <c:pt idx="135">
                  <c:v>68169.394310708973</c:v>
                </c:pt>
                <c:pt idx="136">
                  <c:v>68339.81779648576</c:v>
                </c:pt>
                <c:pt idx="137">
                  <c:v>68510.667340976972</c:v>
                </c:pt>
                <c:pt idx="138">
                  <c:v>68681.944009329396</c:v>
                </c:pt>
                <c:pt idx="139">
                  <c:v>68853.648869352735</c:v>
                </c:pt>
                <c:pt idx="140">
                  <c:v>69025.782991526125</c:v>
                </c:pt>
                <c:pt idx="141">
                  <c:v>69198.347449004941</c:v>
                </c:pt>
                <c:pt idx="142">
                  <c:v>69371.343317627441</c:v>
                </c:pt>
                <c:pt idx="143">
                  <c:v>69544.771675921511</c:v>
                </c:pt>
                <c:pt idx="144">
                  <c:v>69718.633605111303</c:v>
                </c:pt>
                <c:pt idx="145">
                  <c:v>69892.930189124105</c:v>
                </c:pt>
                <c:pt idx="146">
                  <c:v>70067.662514596916</c:v>
                </c:pt>
                <c:pt idx="147">
                  <c:v>70242.831670883403</c:v>
                </c:pt>
                <c:pt idx="148">
                  <c:v>70418.438750060624</c:v>
                </c:pt>
                <c:pt idx="149">
                  <c:v>70594.484846935753</c:v>
                </c:pt>
                <c:pt idx="150">
                  <c:v>70770.971059053089</c:v>
                </c:pt>
                <c:pt idx="151">
                  <c:v>70947.898486700724</c:v>
                </c:pt>
                <c:pt idx="152">
                  <c:v>71125.2682329175</c:v>
                </c:pt>
                <c:pt idx="153">
                  <c:v>71303.081403499789</c:v>
                </c:pt>
                <c:pt idx="154">
                  <c:v>71481.339107008534</c:v>
                </c:pt>
                <c:pt idx="155">
                  <c:v>71660.042454776063</c:v>
                </c:pt>
                <c:pt idx="156">
                  <c:v>71839.192560912983</c:v>
                </c:pt>
                <c:pt idx="157">
                  <c:v>72018.790542315284</c:v>
                </c:pt>
                <c:pt idx="158">
                  <c:v>72198.837518671062</c:v>
                </c:pt>
                <c:pt idx="159">
                  <c:v>72379.334612467734</c:v>
                </c:pt>
                <c:pt idx="160">
                  <c:v>72560.282948998909</c:v>
                </c:pt>
                <c:pt idx="161">
                  <c:v>72741.683656371402</c:v>
                </c:pt>
                <c:pt idx="162">
                  <c:v>72923.537865512335</c:v>
                </c:pt>
                <c:pt idx="163">
                  <c:v>73105.84671017612</c:v>
                </c:pt>
                <c:pt idx="164">
                  <c:v>73288.611326951563</c:v>
                </c:pt>
                <c:pt idx="165">
                  <c:v>73471.832855268935</c:v>
                </c:pt>
                <c:pt idx="166">
                  <c:v>73655.512437407102</c:v>
                </c:pt>
                <c:pt idx="167">
                  <c:v>73839.651218500629</c:v>
                </c:pt>
                <c:pt idx="168">
                  <c:v>74024.250346546876</c:v>
                </c:pt>
                <c:pt idx="169">
                  <c:v>74209.310972413223</c:v>
                </c:pt>
                <c:pt idx="170">
                  <c:v>74394.83424984428</c:v>
                </c:pt>
                <c:pt idx="171">
                  <c:v>74580.821335468878</c:v>
                </c:pt>
                <c:pt idx="172">
                  <c:v>74767.273388807545</c:v>
                </c:pt>
                <c:pt idx="173">
                  <c:v>74954.191572279553</c:v>
                </c:pt>
                <c:pt idx="174">
                  <c:v>75141.577051210275</c:v>
                </c:pt>
                <c:pt idx="175">
                  <c:v>75329.430993838294</c:v>
                </c:pt>
                <c:pt idx="176">
                  <c:v>75517.754571322905</c:v>
                </c:pt>
                <c:pt idx="177">
                  <c:v>75706.548957751191</c:v>
                </c:pt>
                <c:pt idx="178">
                  <c:v>69315.328427966189</c:v>
                </c:pt>
                <c:pt idx="179">
                  <c:v>69546.379522726085</c:v>
                </c:pt>
                <c:pt idx="180">
                  <c:v>69778.200787801848</c:v>
                </c:pt>
                <c:pt idx="181">
                  <c:v>70010.794790427841</c:v>
                </c:pt>
                <c:pt idx="182">
                  <c:v>70244.16410639594</c:v>
                </c:pt>
                <c:pt idx="183">
                  <c:v>70478.311320083914</c:v>
                </c:pt>
                <c:pt idx="184">
                  <c:v>70713.23902448421</c:v>
                </c:pt>
                <c:pt idx="185">
                  <c:v>70948.949821232469</c:v>
                </c:pt>
                <c:pt idx="186">
                  <c:v>71185.446320636576</c:v>
                </c:pt>
                <c:pt idx="187">
                  <c:v>71422.731141705386</c:v>
                </c:pt>
                <c:pt idx="188">
                  <c:v>71660.806912177737</c:v>
                </c:pt>
                <c:pt idx="189">
                  <c:v>71899.676268551644</c:v>
                </c:pt>
                <c:pt idx="190">
                  <c:v>72139.341856113489</c:v>
                </c:pt>
                <c:pt idx="191">
                  <c:v>72379.806328967214</c:v>
                </c:pt>
                <c:pt idx="192">
                  <c:v>72621.072350063769</c:v>
                </c:pt>
                <c:pt idx="193">
                  <c:v>72863.142591230629</c:v>
                </c:pt>
                <c:pt idx="194">
                  <c:v>73106.019733201421</c:v>
                </c:pt>
                <c:pt idx="195">
                  <c:v>73349.706465645402</c:v>
                </c:pt>
                <c:pt idx="196">
                  <c:v>73594.205487197556</c:v>
                </c:pt>
                <c:pt idx="197">
                  <c:v>73839.519505488221</c:v>
                </c:pt>
                <c:pt idx="198">
                  <c:v>74085.65123717321</c:v>
                </c:pt>
                <c:pt idx="199">
                  <c:v>74332.60340796379</c:v>
                </c:pt>
                <c:pt idx="200">
                  <c:v>74580.378752656979</c:v>
                </c:pt>
                <c:pt idx="201">
                  <c:v>74828.980015165842</c:v>
                </c:pt>
                <c:pt idx="202">
                  <c:v>75078.409948549728</c:v>
                </c:pt>
                <c:pt idx="203">
                  <c:v>75328.671315044892</c:v>
                </c:pt>
                <c:pt idx="204">
                  <c:v>75579.766886095051</c:v>
                </c:pt>
                <c:pt idx="205">
                  <c:v>75831.699442382029</c:v>
                </c:pt>
                <c:pt idx="206">
                  <c:v>76084.47177385664</c:v>
                </c:pt>
                <c:pt idx="207">
                  <c:v>76338.086679769505</c:v>
                </c:pt>
                <c:pt idx="208">
                  <c:v>76592.546968702052</c:v>
                </c:pt>
                <c:pt idx="209">
                  <c:v>76847.85545859774</c:v>
                </c:pt>
                <c:pt idx="210">
                  <c:v>77104.014976793056</c:v>
                </c:pt>
                <c:pt idx="211">
                  <c:v>77361.028360049037</c:v>
                </c:pt>
                <c:pt idx="212">
                  <c:v>77618.898454582522</c:v>
                </c:pt>
                <c:pt idx="213">
                  <c:v>77877.628116097825</c:v>
                </c:pt>
                <c:pt idx="214">
                  <c:v>78137.22020981813</c:v>
                </c:pt>
                <c:pt idx="215">
                  <c:v>78397.677610517538</c:v>
                </c:pt>
                <c:pt idx="216">
                  <c:v>78659.003202552587</c:v>
                </c:pt>
                <c:pt idx="217">
                  <c:v>78921.199879894441</c:v>
                </c:pt>
                <c:pt idx="218">
                  <c:v>79184.270546160755</c:v>
                </c:pt>
                <c:pt idx="219">
                  <c:v>79448.218114647956</c:v>
                </c:pt>
                <c:pt idx="220">
                  <c:v>79713.045508363459</c:v>
                </c:pt>
                <c:pt idx="221">
                  <c:v>79978.755660057999</c:v>
                </c:pt>
                <c:pt idx="222">
                  <c:v>80245.351512258174</c:v>
                </c:pt>
                <c:pt idx="223">
                  <c:v>80512.836017299036</c:v>
                </c:pt>
                <c:pt idx="224">
                  <c:v>80781.212137356721</c:v>
                </c:pt>
                <c:pt idx="225">
                  <c:v>81050.482844481245</c:v>
                </c:pt>
                <c:pt idx="226">
                  <c:v>81320.651120629511</c:v>
                </c:pt>
                <c:pt idx="227">
                  <c:v>81591.719957698253</c:v>
                </c:pt>
                <c:pt idx="228">
                  <c:v>81863.692357557273</c:v>
                </c:pt>
                <c:pt idx="229">
                  <c:v>82136.571332082443</c:v>
                </c:pt>
                <c:pt idx="230">
                  <c:v>82410.359903189383</c:v>
                </c:pt>
                <c:pt idx="231">
                  <c:v>82685.06110286669</c:v>
                </c:pt>
                <c:pt idx="232">
                  <c:v>82960.677973209589</c:v>
                </c:pt>
                <c:pt idx="233">
                  <c:v>83237.213566453604</c:v>
                </c:pt>
                <c:pt idx="234">
                  <c:v>83514.67094500846</c:v>
                </c:pt>
                <c:pt idx="235">
                  <c:v>83793.053181491821</c:v>
                </c:pt>
                <c:pt idx="236">
                  <c:v>84072.363358763454</c:v>
                </c:pt>
                <c:pt idx="237">
                  <c:v>84352.604569959338</c:v>
                </c:pt>
                <c:pt idx="238">
                  <c:v>79486.033543990256</c:v>
                </c:pt>
                <c:pt idx="239">
                  <c:v>79817.22535042357</c:v>
                </c:pt>
                <c:pt idx="240">
                  <c:v>80149.797122716991</c:v>
                </c:pt>
                <c:pt idx="241">
                  <c:v>80483.754610728327</c:v>
                </c:pt>
                <c:pt idx="242">
                  <c:v>80819.103588273021</c:v>
                </c:pt>
                <c:pt idx="243">
                  <c:v>81155.84985322415</c:v>
                </c:pt>
                <c:pt idx="244">
                  <c:v>81493.999227612599</c:v>
                </c:pt>
                <c:pt idx="245">
                  <c:v>81833.557557727647</c:v>
                </c:pt>
                <c:pt idx="246">
                  <c:v>82174.530714218185</c:v>
                </c:pt>
                <c:pt idx="247">
                  <c:v>82516.924592194089</c:v>
                </c:pt>
                <c:pt idx="248">
                  <c:v>82860.74511132823</c:v>
                </c:pt>
                <c:pt idx="249">
                  <c:v>83205.998215958767</c:v>
                </c:pt>
                <c:pt idx="250">
                  <c:v>83552.689875191922</c:v>
                </c:pt>
                <c:pt idx="251">
                  <c:v>83900.826083005202</c:v>
                </c:pt>
                <c:pt idx="252">
                  <c:v>84250.412858351076</c:v>
                </c:pt>
                <c:pt idx="253">
                  <c:v>84601.456245260866</c:v>
                </c:pt>
                <c:pt idx="254">
                  <c:v>84953.962312949443</c:v>
                </c:pt>
                <c:pt idx="255">
                  <c:v>85307.937155920081</c:v>
                </c:pt>
                <c:pt idx="256">
                  <c:v>85663.386894069728</c:v>
                </c:pt>
                <c:pt idx="257">
                  <c:v>86020.317672795034</c:v>
                </c:pt>
                <c:pt idx="258">
                  <c:v>86378.735663098341</c:v>
                </c:pt>
                <c:pt idx="259">
                  <c:v>86738.647061694588</c:v>
                </c:pt>
                <c:pt idx="260">
                  <c:v>87100.058091118321</c:v>
                </c:pt>
                <c:pt idx="261">
                  <c:v>87462.974999831291</c:v>
                </c:pt>
                <c:pt idx="262">
                  <c:v>87827.404062330606</c:v>
                </c:pt>
                <c:pt idx="263">
                  <c:v>88193.351579256967</c:v>
                </c:pt>
                <c:pt idx="264">
                  <c:v>88560.823877503892</c:v>
                </c:pt>
                <c:pt idx="265">
                  <c:v>88929.827310326829</c:v>
                </c:pt>
                <c:pt idx="266">
                  <c:v>89300.36825745317</c:v>
                </c:pt>
                <c:pt idx="267">
                  <c:v>89672.45312519258</c:v>
                </c:pt>
                <c:pt idx="268">
                  <c:v>90046.088346547534</c:v>
                </c:pt>
                <c:pt idx="269">
                  <c:v>90421.280381324817</c:v>
                </c:pt>
                <c:pt idx="270">
                  <c:v>90798.035716247017</c:v>
                </c:pt>
                <c:pt idx="271">
                  <c:v>91176.360865064722</c:v>
                </c:pt>
                <c:pt idx="272">
                  <c:v>91556.262368669151</c:v>
                </c:pt>
                <c:pt idx="273">
                  <c:v>91937.746795205254</c:v>
                </c:pt>
                <c:pt idx="274">
                  <c:v>92320.8207401853</c:v>
                </c:pt>
                <c:pt idx="275">
                  <c:v>92705.490826602734</c:v>
                </c:pt>
                <c:pt idx="276">
                  <c:v>93091.763705046906</c:v>
                </c:pt>
                <c:pt idx="277">
                  <c:v>93479.646053817938</c:v>
                </c:pt>
                <c:pt idx="278">
                  <c:v>93869.144579042186</c:v>
                </c:pt>
                <c:pt idx="279">
                  <c:v>94260.266014788183</c:v>
                </c:pt>
                <c:pt idx="280">
                  <c:v>94653.017123183119</c:v>
                </c:pt>
                <c:pt idx="281">
                  <c:v>95047.404694529716</c:v>
                </c:pt>
                <c:pt idx="282">
                  <c:v>95443.435547423607</c:v>
                </c:pt>
                <c:pt idx="283">
                  <c:v>95841.116528871207</c:v>
                </c:pt>
                <c:pt idx="284">
                  <c:v>96240.454514408164</c:v>
                </c:pt>
                <c:pt idx="285">
                  <c:v>96641.45640821819</c:v>
                </c:pt>
                <c:pt idx="286">
                  <c:v>97044.129143252445</c:v>
                </c:pt>
                <c:pt idx="287">
                  <c:v>97448.47968134933</c:v>
                </c:pt>
                <c:pt idx="288">
                  <c:v>97854.515013354947</c:v>
                </c:pt>
                <c:pt idx="289">
                  <c:v>98262.242159243935</c:v>
                </c:pt>
                <c:pt idx="290">
                  <c:v>98671.66816824078</c:v>
                </c:pt>
                <c:pt idx="291">
                  <c:v>99082.800118941785</c:v>
                </c:pt>
                <c:pt idx="292">
                  <c:v>99495.645119437366</c:v>
                </c:pt>
                <c:pt idx="293">
                  <c:v>99910.210307435031</c:v>
                </c:pt>
                <c:pt idx="294">
                  <c:v>100326.50285038268</c:v>
                </c:pt>
                <c:pt idx="295">
                  <c:v>100744.5299455926</c:v>
                </c:pt>
                <c:pt idx="296">
                  <c:v>101164.29882036592</c:v>
                </c:pt>
                <c:pt idx="297">
                  <c:v>101585.81673211744</c:v>
                </c:pt>
                <c:pt idx="298">
                  <c:v>102009.09096850158</c:v>
                </c:pt>
                <c:pt idx="299">
                  <c:v>102434.12884753699</c:v>
                </c:pt>
                <c:pt idx="300">
                  <c:v>102860.93771773507</c:v>
                </c:pt>
                <c:pt idx="301">
                  <c:v>103289.52495822564</c:v>
                </c:pt>
                <c:pt idx="302">
                  <c:v>103719.8979788849</c:v>
                </c:pt>
                <c:pt idx="303">
                  <c:v>104152.0642204636</c:v>
                </c:pt>
                <c:pt idx="304">
                  <c:v>104586.03115471551</c:v>
                </c:pt>
                <c:pt idx="305">
                  <c:v>105021.80628452684</c:v>
                </c:pt>
                <c:pt idx="306">
                  <c:v>105459.39714404571</c:v>
                </c:pt>
                <c:pt idx="307">
                  <c:v>105898.81129881256</c:v>
                </c:pt>
                <c:pt idx="308">
                  <c:v>106340.05634589095</c:v>
                </c:pt>
                <c:pt idx="309">
                  <c:v>106783.13991399884</c:v>
                </c:pt>
                <c:pt idx="310">
                  <c:v>107228.06966364049</c:v>
                </c:pt>
                <c:pt idx="311">
                  <c:v>107674.85328723898</c:v>
                </c:pt>
                <c:pt idx="312">
                  <c:v>108123.49850926915</c:v>
                </c:pt>
                <c:pt idx="313">
                  <c:v>108574.01308639109</c:v>
                </c:pt>
                <c:pt idx="314">
                  <c:v>109026.40480758439</c:v>
                </c:pt>
                <c:pt idx="315">
                  <c:v>109480.68149428267</c:v>
                </c:pt>
                <c:pt idx="316">
                  <c:v>109936.85100050885</c:v>
                </c:pt>
                <c:pt idx="317">
                  <c:v>110394.92121301097</c:v>
                </c:pt>
                <c:pt idx="318">
                  <c:v>110854.90005139851</c:v>
                </c:pt>
                <c:pt idx="319">
                  <c:v>111316.79546827934</c:v>
                </c:pt>
                <c:pt idx="320">
                  <c:v>111780.61544939717</c:v>
                </c:pt>
                <c:pt idx="321">
                  <c:v>112246.36801376965</c:v>
                </c:pt>
                <c:pt idx="322">
                  <c:v>112714.06121382702</c:v>
                </c:pt>
                <c:pt idx="323">
                  <c:v>113183.7031355513</c:v>
                </c:pt>
                <c:pt idx="324">
                  <c:v>113655.3018986161</c:v>
                </c:pt>
                <c:pt idx="325">
                  <c:v>114128.86565652701</c:v>
                </c:pt>
                <c:pt idx="326">
                  <c:v>114604.40259676253</c:v>
                </c:pt>
                <c:pt idx="327">
                  <c:v>115081.9209409157</c:v>
                </c:pt>
                <c:pt idx="328">
                  <c:v>115561.42894483618</c:v>
                </c:pt>
                <c:pt idx="329">
                  <c:v>116042.934898773</c:v>
                </c:pt>
                <c:pt idx="330">
                  <c:v>116526.44712751789</c:v>
                </c:pt>
                <c:pt idx="331">
                  <c:v>117011.97399054922</c:v>
                </c:pt>
                <c:pt idx="332">
                  <c:v>117499.52388217651</c:v>
                </c:pt>
                <c:pt idx="333">
                  <c:v>117989.10523168558</c:v>
                </c:pt>
                <c:pt idx="334">
                  <c:v>118480.72650348427</c:v>
                </c:pt>
                <c:pt idx="335">
                  <c:v>118974.39619724879</c:v>
                </c:pt>
                <c:pt idx="336">
                  <c:v>119470.12284807066</c:v>
                </c:pt>
                <c:pt idx="337">
                  <c:v>119967.91502660429</c:v>
                </c:pt>
                <c:pt idx="338">
                  <c:v>120467.78133921513</c:v>
                </c:pt>
                <c:pt idx="339">
                  <c:v>120969.73042812853</c:v>
                </c:pt>
                <c:pt idx="340">
                  <c:v>121473.77097157907</c:v>
                </c:pt>
                <c:pt idx="341">
                  <c:v>121979.91168396064</c:v>
                </c:pt>
                <c:pt idx="342">
                  <c:v>122488.16131597715</c:v>
                </c:pt>
                <c:pt idx="343">
                  <c:v>122998.52865479373</c:v>
                </c:pt>
                <c:pt idx="344">
                  <c:v>123511.02252418869</c:v>
                </c:pt>
                <c:pt idx="345">
                  <c:v>124025.65178470615</c:v>
                </c:pt>
                <c:pt idx="346">
                  <c:v>124542.42533380909</c:v>
                </c:pt>
                <c:pt idx="347">
                  <c:v>125061.3521060333</c:v>
                </c:pt>
                <c:pt idx="348">
                  <c:v>125582.44107314176</c:v>
                </c:pt>
                <c:pt idx="349">
                  <c:v>126105.70124427986</c:v>
                </c:pt>
                <c:pt idx="350">
                  <c:v>126631.14166613102</c:v>
                </c:pt>
                <c:pt idx="351">
                  <c:v>127158.77142307324</c:v>
                </c:pt>
                <c:pt idx="352">
                  <c:v>127688.59963733604</c:v>
                </c:pt>
                <c:pt idx="353">
                  <c:v>128220.63546915827</c:v>
                </c:pt>
                <c:pt idx="354">
                  <c:v>128754.88811694643</c:v>
                </c:pt>
                <c:pt idx="355">
                  <c:v>129291.36681743371</c:v>
                </c:pt>
                <c:pt idx="356">
                  <c:v>129830.08084583968</c:v>
                </c:pt>
                <c:pt idx="357">
                  <c:v>130371.03951603068</c:v>
                </c:pt>
                <c:pt idx="358">
                  <c:v>130914.25218068244</c:v>
                </c:pt>
                <c:pt idx="359">
                  <c:v>131459.72823143529</c:v>
                </c:pt>
                <c:pt idx="360">
                  <c:v>132007.47709906625</c:v>
                </c:pt>
                <c:pt idx="361">
                  <c:v>132557.5082536457</c:v>
                </c:pt>
                <c:pt idx="362">
                  <c:v>133109.83120470255</c:v>
                </c:pt>
                <c:pt idx="363">
                  <c:v>133664.45550138882</c:v>
                </c:pt>
                <c:pt idx="364">
                  <c:v>134221.39073264462</c:v>
                </c:pt>
                <c:pt idx="365">
                  <c:v>134780.64652736398</c:v>
                </c:pt>
                <c:pt idx="366">
                  <c:v>135342.23255456131</c:v>
                </c:pt>
                <c:pt idx="367">
                  <c:v>135906.15852353864</c:v>
                </c:pt>
                <c:pt idx="368">
                  <c:v>136472.43418405339</c:v>
                </c:pt>
                <c:pt idx="369">
                  <c:v>137041.06932648696</c:v>
                </c:pt>
                <c:pt idx="370">
                  <c:v>137612.07378201399</c:v>
                </c:pt>
                <c:pt idx="371">
                  <c:v>138185.45742277236</c:v>
                </c:pt>
                <c:pt idx="372">
                  <c:v>138761.23016203393</c:v>
                </c:pt>
                <c:pt idx="373">
                  <c:v>139339.40195437573</c:v>
                </c:pt>
                <c:pt idx="374">
                  <c:v>139919.98279585229</c:v>
                </c:pt>
                <c:pt idx="375">
                  <c:v>140502.98272416834</c:v>
                </c:pt>
                <c:pt idx="376">
                  <c:v>141088.41181885239</c:v>
                </c:pt>
                <c:pt idx="377">
                  <c:v>141676.28020144344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87-46AE-A362-C447AE1C6E58}"/>
            </c:ext>
          </c:extLst>
        </c:ser>
        <c:ser>
          <c:idx val="2"/>
          <c:order val="2"/>
          <c:tx>
            <c:v>目盛り用余白（あり）</c:v>
          </c:tx>
          <c:spPr>
            <a:noFill/>
            <a:ln>
              <a:noFill/>
            </a:ln>
          </c:spPr>
          <c:invertIfNegative val="0"/>
          <c:cat>
            <c:strRef>
              <c:f>結果サマリー!$O$6:$O$603</c:f>
              <c:strCache>
                <c:ptCount val="598"/>
                <c:pt idx="0">
                  <c:v>0.0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1.0</c:v>
                </c:pt>
                <c:pt idx="13">
                  <c:v>1.1</c:v>
                </c:pt>
                <c:pt idx="14">
                  <c:v>1.2</c:v>
                </c:pt>
                <c:pt idx="15">
                  <c:v>1.3</c:v>
                </c:pt>
                <c:pt idx="16">
                  <c:v>1.3</c:v>
                </c:pt>
                <c:pt idx="17">
                  <c:v>1.4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1.8</c:v>
                </c:pt>
                <c:pt idx="22">
                  <c:v>1.8</c:v>
                </c:pt>
                <c:pt idx="23">
                  <c:v>1.9</c:v>
                </c:pt>
                <c:pt idx="24">
                  <c:v>2.0</c:v>
                </c:pt>
                <c:pt idx="25">
                  <c:v>2.1</c:v>
                </c:pt>
                <c:pt idx="26">
                  <c:v>2.2</c:v>
                </c:pt>
                <c:pt idx="27">
                  <c:v>2.3</c:v>
                </c:pt>
                <c:pt idx="28">
                  <c:v>2.3</c:v>
                </c:pt>
                <c:pt idx="29">
                  <c:v>2.4</c:v>
                </c:pt>
                <c:pt idx="30">
                  <c:v>2.5</c:v>
                </c:pt>
                <c:pt idx="31">
                  <c:v>2.6</c:v>
                </c:pt>
                <c:pt idx="32">
                  <c:v>2.7</c:v>
                </c:pt>
                <c:pt idx="33">
                  <c:v>2.9</c:v>
                </c:pt>
                <c:pt idx="34">
                  <c:v>3.0</c:v>
                </c:pt>
                <c:pt idx="35">
                  <c:v>3.1</c:v>
                </c:pt>
                <c:pt idx="36">
                  <c:v>3.2</c:v>
                </c:pt>
                <c:pt idx="37">
                  <c:v>3.3</c:v>
                </c:pt>
                <c:pt idx="38">
                  <c:v>3.3</c:v>
                </c:pt>
                <c:pt idx="39">
                  <c:v>3.4</c:v>
                </c:pt>
                <c:pt idx="40">
                  <c:v>3.5</c:v>
                </c:pt>
                <c:pt idx="41">
                  <c:v>3.6</c:v>
                </c:pt>
                <c:pt idx="42">
                  <c:v>3.7</c:v>
                </c:pt>
                <c:pt idx="43">
                  <c:v>3.8</c:v>
                </c:pt>
                <c:pt idx="44">
                  <c:v>3.8</c:v>
                </c:pt>
                <c:pt idx="45">
                  <c:v>3.9</c:v>
                </c:pt>
                <c:pt idx="46">
                  <c:v>4.0</c:v>
                </c:pt>
                <c:pt idx="47">
                  <c:v>4.1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4.4</c:v>
                </c:pt>
                <c:pt idx="52">
                  <c:v>4.5</c:v>
                </c:pt>
                <c:pt idx="53">
                  <c:v>4.6</c:v>
                </c:pt>
                <c:pt idx="54">
                  <c:v>4.7</c:v>
                </c:pt>
                <c:pt idx="55">
                  <c:v>4.8</c:v>
                </c:pt>
                <c:pt idx="56">
                  <c:v>4.8</c:v>
                </c:pt>
                <c:pt idx="57">
                  <c:v>4.9</c:v>
                </c:pt>
                <c:pt idx="58">
                  <c:v>5.0</c:v>
                </c:pt>
                <c:pt idx="59">
                  <c:v>5.1</c:v>
                </c:pt>
                <c:pt idx="60">
                  <c:v>5.2</c:v>
                </c:pt>
                <c:pt idx="61">
                  <c:v>5.3</c:v>
                </c:pt>
                <c:pt idx="62">
                  <c:v>5.3</c:v>
                </c:pt>
                <c:pt idx="63">
                  <c:v>5.4</c:v>
                </c:pt>
                <c:pt idx="64">
                  <c:v>5.5</c:v>
                </c:pt>
                <c:pt idx="65">
                  <c:v>5.6</c:v>
                </c:pt>
                <c:pt idx="66">
                  <c:v>5.7</c:v>
                </c:pt>
                <c:pt idx="67">
                  <c:v>5.8</c:v>
                </c:pt>
                <c:pt idx="68">
                  <c:v>5.8</c:v>
                </c:pt>
                <c:pt idx="69">
                  <c:v>5.9</c:v>
                </c:pt>
                <c:pt idx="70">
                  <c:v>6.0</c:v>
                </c:pt>
                <c:pt idx="71">
                  <c:v>6.1</c:v>
                </c:pt>
                <c:pt idx="72">
                  <c:v>6.2</c:v>
                </c:pt>
                <c:pt idx="73">
                  <c:v>6.3</c:v>
                </c:pt>
                <c:pt idx="74">
                  <c:v>6.3</c:v>
                </c:pt>
                <c:pt idx="75">
                  <c:v>6.4</c:v>
                </c:pt>
                <c:pt idx="76">
                  <c:v>6.5</c:v>
                </c:pt>
                <c:pt idx="77">
                  <c:v>6.6</c:v>
                </c:pt>
                <c:pt idx="78">
                  <c:v>6.7</c:v>
                </c:pt>
                <c:pt idx="79">
                  <c:v>6.8</c:v>
                </c:pt>
                <c:pt idx="80">
                  <c:v>6.8</c:v>
                </c:pt>
                <c:pt idx="81">
                  <c:v>6.9</c:v>
                </c:pt>
                <c:pt idx="82">
                  <c:v>7.0</c:v>
                </c:pt>
                <c:pt idx="83">
                  <c:v>7.1</c:v>
                </c:pt>
                <c:pt idx="84">
                  <c:v>7.2</c:v>
                </c:pt>
                <c:pt idx="85">
                  <c:v>7.3</c:v>
                </c:pt>
                <c:pt idx="86">
                  <c:v>7.3</c:v>
                </c:pt>
                <c:pt idx="87">
                  <c:v>7.4</c:v>
                </c:pt>
                <c:pt idx="88">
                  <c:v>7.5</c:v>
                </c:pt>
                <c:pt idx="89">
                  <c:v>7.6</c:v>
                </c:pt>
                <c:pt idx="90">
                  <c:v>7.7</c:v>
                </c:pt>
                <c:pt idx="91">
                  <c:v>7.8</c:v>
                </c:pt>
                <c:pt idx="92">
                  <c:v>7.8</c:v>
                </c:pt>
                <c:pt idx="93">
                  <c:v>7.9</c:v>
                </c:pt>
                <c:pt idx="94">
                  <c:v>8.0</c:v>
                </c:pt>
                <c:pt idx="95">
                  <c:v>8.1</c:v>
                </c:pt>
                <c:pt idx="96">
                  <c:v>8.2</c:v>
                </c:pt>
                <c:pt idx="97">
                  <c:v>8.3</c:v>
                </c:pt>
                <c:pt idx="98">
                  <c:v>8.3</c:v>
                </c:pt>
                <c:pt idx="99">
                  <c:v>8.4</c:v>
                </c:pt>
                <c:pt idx="100">
                  <c:v>8.5</c:v>
                </c:pt>
                <c:pt idx="101">
                  <c:v>8.6</c:v>
                </c:pt>
                <c:pt idx="102">
                  <c:v>8.7</c:v>
                </c:pt>
                <c:pt idx="103">
                  <c:v>8.8</c:v>
                </c:pt>
                <c:pt idx="104">
                  <c:v>8.8</c:v>
                </c:pt>
                <c:pt idx="105">
                  <c:v>8.9</c:v>
                </c:pt>
                <c:pt idx="106">
                  <c:v>9.0</c:v>
                </c:pt>
                <c:pt idx="107">
                  <c:v>9.1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9.4</c:v>
                </c:pt>
                <c:pt idx="112">
                  <c:v>9.5</c:v>
                </c:pt>
                <c:pt idx="113">
                  <c:v>9.6</c:v>
                </c:pt>
                <c:pt idx="114">
                  <c:v>9.7</c:v>
                </c:pt>
                <c:pt idx="115">
                  <c:v>9.8</c:v>
                </c:pt>
                <c:pt idx="116">
                  <c:v>9.8</c:v>
                </c:pt>
                <c:pt idx="117">
                  <c:v>9.9</c:v>
                </c:pt>
                <c:pt idx="118">
                  <c:v>10.0</c:v>
                </c:pt>
                <c:pt idx="119">
                  <c:v>10.1</c:v>
                </c:pt>
                <c:pt idx="120">
                  <c:v>10.2</c:v>
                </c:pt>
                <c:pt idx="121">
                  <c:v>10.3</c:v>
                </c:pt>
                <c:pt idx="122">
                  <c:v>10.3</c:v>
                </c:pt>
                <c:pt idx="123">
                  <c:v>10.4</c:v>
                </c:pt>
                <c:pt idx="124">
                  <c:v>10.5</c:v>
                </c:pt>
                <c:pt idx="125">
                  <c:v>10.6</c:v>
                </c:pt>
                <c:pt idx="126">
                  <c:v>10.7</c:v>
                </c:pt>
                <c:pt idx="127">
                  <c:v>10.8</c:v>
                </c:pt>
                <c:pt idx="128">
                  <c:v>10.8</c:v>
                </c:pt>
                <c:pt idx="129">
                  <c:v>10.9</c:v>
                </c:pt>
                <c:pt idx="130">
                  <c:v>11.0</c:v>
                </c:pt>
                <c:pt idx="131">
                  <c:v>11.1</c:v>
                </c:pt>
                <c:pt idx="132">
                  <c:v>11.2</c:v>
                </c:pt>
                <c:pt idx="133">
                  <c:v>11.3</c:v>
                </c:pt>
                <c:pt idx="134">
                  <c:v>11.3</c:v>
                </c:pt>
                <c:pt idx="135">
                  <c:v>11.4</c:v>
                </c:pt>
                <c:pt idx="136">
                  <c:v>11.5</c:v>
                </c:pt>
                <c:pt idx="137">
                  <c:v>11.6</c:v>
                </c:pt>
                <c:pt idx="138">
                  <c:v>11.7</c:v>
                </c:pt>
                <c:pt idx="139">
                  <c:v>11.8</c:v>
                </c:pt>
                <c:pt idx="140">
                  <c:v>11.8</c:v>
                </c:pt>
                <c:pt idx="141">
                  <c:v>11.9</c:v>
                </c:pt>
                <c:pt idx="142">
                  <c:v>12.0</c:v>
                </c:pt>
                <c:pt idx="143">
                  <c:v>12.1</c:v>
                </c:pt>
                <c:pt idx="144">
                  <c:v>12.2</c:v>
                </c:pt>
                <c:pt idx="145">
                  <c:v>12.3</c:v>
                </c:pt>
                <c:pt idx="146">
                  <c:v>12.3</c:v>
                </c:pt>
                <c:pt idx="147">
                  <c:v>12.4</c:v>
                </c:pt>
                <c:pt idx="148">
                  <c:v>12.5</c:v>
                </c:pt>
                <c:pt idx="149">
                  <c:v>12.6</c:v>
                </c:pt>
                <c:pt idx="150">
                  <c:v>12.7</c:v>
                </c:pt>
                <c:pt idx="151">
                  <c:v>12.8</c:v>
                </c:pt>
                <c:pt idx="152">
                  <c:v>12.8</c:v>
                </c:pt>
                <c:pt idx="153">
                  <c:v>12.9</c:v>
                </c:pt>
                <c:pt idx="154">
                  <c:v>13.0</c:v>
                </c:pt>
                <c:pt idx="155">
                  <c:v>13.1</c:v>
                </c:pt>
                <c:pt idx="156">
                  <c:v>13.2</c:v>
                </c:pt>
                <c:pt idx="157">
                  <c:v>13.3</c:v>
                </c:pt>
                <c:pt idx="158">
                  <c:v>13.3</c:v>
                </c:pt>
                <c:pt idx="159">
                  <c:v>13.4</c:v>
                </c:pt>
                <c:pt idx="160">
                  <c:v>13.5</c:v>
                </c:pt>
                <c:pt idx="161">
                  <c:v>13.6</c:v>
                </c:pt>
                <c:pt idx="162">
                  <c:v>13.7</c:v>
                </c:pt>
                <c:pt idx="163">
                  <c:v>13.8</c:v>
                </c:pt>
                <c:pt idx="164">
                  <c:v>13.8</c:v>
                </c:pt>
                <c:pt idx="165">
                  <c:v>13.9</c:v>
                </c:pt>
                <c:pt idx="166">
                  <c:v>14.0</c:v>
                </c:pt>
                <c:pt idx="167">
                  <c:v>14.1</c:v>
                </c:pt>
                <c:pt idx="168">
                  <c:v>14.2</c:v>
                </c:pt>
                <c:pt idx="169">
                  <c:v>14.3</c:v>
                </c:pt>
                <c:pt idx="170">
                  <c:v>14.3</c:v>
                </c:pt>
                <c:pt idx="171">
                  <c:v>14.4</c:v>
                </c:pt>
                <c:pt idx="172">
                  <c:v>14.5</c:v>
                </c:pt>
                <c:pt idx="173">
                  <c:v>14.6</c:v>
                </c:pt>
                <c:pt idx="174">
                  <c:v>14.7</c:v>
                </c:pt>
                <c:pt idx="175">
                  <c:v>14.8</c:v>
                </c:pt>
                <c:pt idx="176">
                  <c:v>14.8</c:v>
                </c:pt>
                <c:pt idx="177">
                  <c:v>14.9</c:v>
                </c:pt>
                <c:pt idx="178">
                  <c:v>15.0</c:v>
                </c:pt>
                <c:pt idx="179">
                  <c:v>15.1</c:v>
                </c:pt>
                <c:pt idx="180">
                  <c:v>15.2</c:v>
                </c:pt>
                <c:pt idx="181">
                  <c:v>15.3</c:v>
                </c:pt>
                <c:pt idx="182">
                  <c:v>15.3</c:v>
                </c:pt>
                <c:pt idx="183">
                  <c:v>15.4</c:v>
                </c:pt>
                <c:pt idx="184">
                  <c:v>15.5</c:v>
                </c:pt>
                <c:pt idx="185">
                  <c:v>15.6</c:v>
                </c:pt>
                <c:pt idx="186">
                  <c:v>15.7</c:v>
                </c:pt>
                <c:pt idx="187">
                  <c:v>15.8</c:v>
                </c:pt>
                <c:pt idx="188">
                  <c:v>15.8</c:v>
                </c:pt>
                <c:pt idx="189">
                  <c:v>15.9</c:v>
                </c:pt>
                <c:pt idx="190">
                  <c:v>16.0</c:v>
                </c:pt>
                <c:pt idx="191">
                  <c:v>16.1</c:v>
                </c:pt>
                <c:pt idx="192">
                  <c:v>16.2</c:v>
                </c:pt>
                <c:pt idx="193">
                  <c:v>16.3</c:v>
                </c:pt>
                <c:pt idx="194">
                  <c:v>16.3</c:v>
                </c:pt>
                <c:pt idx="195">
                  <c:v>16.4</c:v>
                </c:pt>
                <c:pt idx="196">
                  <c:v>16.5</c:v>
                </c:pt>
                <c:pt idx="197">
                  <c:v>16.6</c:v>
                </c:pt>
                <c:pt idx="198">
                  <c:v>16.7</c:v>
                </c:pt>
                <c:pt idx="199">
                  <c:v>16.8</c:v>
                </c:pt>
                <c:pt idx="200">
                  <c:v>16.8</c:v>
                </c:pt>
                <c:pt idx="201">
                  <c:v>16.9</c:v>
                </c:pt>
                <c:pt idx="202">
                  <c:v>17.0</c:v>
                </c:pt>
                <c:pt idx="203">
                  <c:v>17.1</c:v>
                </c:pt>
                <c:pt idx="204">
                  <c:v>17.2</c:v>
                </c:pt>
                <c:pt idx="205">
                  <c:v>17.3</c:v>
                </c:pt>
                <c:pt idx="206">
                  <c:v>17.3</c:v>
                </c:pt>
                <c:pt idx="207">
                  <c:v>17.4</c:v>
                </c:pt>
                <c:pt idx="208">
                  <c:v>17.5</c:v>
                </c:pt>
                <c:pt idx="209">
                  <c:v>17.6</c:v>
                </c:pt>
                <c:pt idx="210">
                  <c:v>17.7</c:v>
                </c:pt>
                <c:pt idx="211">
                  <c:v>17.8</c:v>
                </c:pt>
                <c:pt idx="212">
                  <c:v>17.8</c:v>
                </c:pt>
                <c:pt idx="213">
                  <c:v>17.9</c:v>
                </c:pt>
                <c:pt idx="214">
                  <c:v>18.0</c:v>
                </c:pt>
                <c:pt idx="215">
                  <c:v>18.1</c:v>
                </c:pt>
                <c:pt idx="216">
                  <c:v>18.2</c:v>
                </c:pt>
                <c:pt idx="217">
                  <c:v>18.3</c:v>
                </c:pt>
                <c:pt idx="218">
                  <c:v>18.3</c:v>
                </c:pt>
                <c:pt idx="219">
                  <c:v>18.4</c:v>
                </c:pt>
                <c:pt idx="220">
                  <c:v>18.5</c:v>
                </c:pt>
                <c:pt idx="221">
                  <c:v>18.6</c:v>
                </c:pt>
                <c:pt idx="222">
                  <c:v>18.7</c:v>
                </c:pt>
                <c:pt idx="223">
                  <c:v>18.8</c:v>
                </c:pt>
                <c:pt idx="224">
                  <c:v>18.8</c:v>
                </c:pt>
                <c:pt idx="225">
                  <c:v>18.9</c:v>
                </c:pt>
                <c:pt idx="226">
                  <c:v>19.0</c:v>
                </c:pt>
                <c:pt idx="227">
                  <c:v>19.1</c:v>
                </c:pt>
                <c:pt idx="228">
                  <c:v>19.2</c:v>
                </c:pt>
                <c:pt idx="229">
                  <c:v>19.3</c:v>
                </c:pt>
                <c:pt idx="230">
                  <c:v>19.3</c:v>
                </c:pt>
                <c:pt idx="231">
                  <c:v>19.4</c:v>
                </c:pt>
                <c:pt idx="232">
                  <c:v>19.5</c:v>
                </c:pt>
                <c:pt idx="233">
                  <c:v>19.6</c:v>
                </c:pt>
                <c:pt idx="234">
                  <c:v>19.7</c:v>
                </c:pt>
                <c:pt idx="235">
                  <c:v>19.8</c:v>
                </c:pt>
                <c:pt idx="236">
                  <c:v>19.8</c:v>
                </c:pt>
                <c:pt idx="237">
                  <c:v>19.9</c:v>
                </c:pt>
                <c:pt idx="238">
                  <c:v>20.0</c:v>
                </c:pt>
                <c:pt idx="239">
                  <c:v>20.1</c:v>
                </c:pt>
                <c:pt idx="240">
                  <c:v>20.2</c:v>
                </c:pt>
                <c:pt idx="241">
                  <c:v>20.3</c:v>
                </c:pt>
                <c:pt idx="242">
                  <c:v>20.3</c:v>
                </c:pt>
                <c:pt idx="243">
                  <c:v>20.4</c:v>
                </c:pt>
                <c:pt idx="244">
                  <c:v>20.5</c:v>
                </c:pt>
                <c:pt idx="245">
                  <c:v>20.6</c:v>
                </c:pt>
                <c:pt idx="246">
                  <c:v>20.7</c:v>
                </c:pt>
                <c:pt idx="247">
                  <c:v>20.8</c:v>
                </c:pt>
                <c:pt idx="248">
                  <c:v>20.8</c:v>
                </c:pt>
                <c:pt idx="249">
                  <c:v>20.9</c:v>
                </c:pt>
                <c:pt idx="250">
                  <c:v>21.0</c:v>
                </c:pt>
                <c:pt idx="251">
                  <c:v>21.1</c:v>
                </c:pt>
                <c:pt idx="252">
                  <c:v>21.2</c:v>
                </c:pt>
                <c:pt idx="253">
                  <c:v>21.3</c:v>
                </c:pt>
                <c:pt idx="254">
                  <c:v>21.3</c:v>
                </c:pt>
                <c:pt idx="255">
                  <c:v>21.4</c:v>
                </c:pt>
                <c:pt idx="256">
                  <c:v>21.5</c:v>
                </c:pt>
                <c:pt idx="257">
                  <c:v>21.6</c:v>
                </c:pt>
                <c:pt idx="258">
                  <c:v>21.7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22.0</c:v>
                </c:pt>
                <c:pt idx="263">
                  <c:v>22.1</c:v>
                </c:pt>
                <c:pt idx="264">
                  <c:v>22.2</c:v>
                </c:pt>
                <c:pt idx="265">
                  <c:v>22.3</c:v>
                </c:pt>
                <c:pt idx="266">
                  <c:v>22.3</c:v>
                </c:pt>
                <c:pt idx="267">
                  <c:v>22.4</c:v>
                </c:pt>
                <c:pt idx="268">
                  <c:v>22.5</c:v>
                </c:pt>
                <c:pt idx="269">
                  <c:v>22.6</c:v>
                </c:pt>
                <c:pt idx="270">
                  <c:v>22.7</c:v>
                </c:pt>
                <c:pt idx="271">
                  <c:v>22.8</c:v>
                </c:pt>
                <c:pt idx="272">
                  <c:v>22.8</c:v>
                </c:pt>
                <c:pt idx="273">
                  <c:v>22.9</c:v>
                </c:pt>
                <c:pt idx="274">
                  <c:v>23.0</c:v>
                </c:pt>
                <c:pt idx="275">
                  <c:v>23.1</c:v>
                </c:pt>
                <c:pt idx="276">
                  <c:v>23.2</c:v>
                </c:pt>
                <c:pt idx="277">
                  <c:v>23.3</c:v>
                </c:pt>
                <c:pt idx="278">
                  <c:v>23.3</c:v>
                </c:pt>
                <c:pt idx="279">
                  <c:v>23.4</c:v>
                </c:pt>
                <c:pt idx="280">
                  <c:v>23.5</c:v>
                </c:pt>
                <c:pt idx="281">
                  <c:v>23.6</c:v>
                </c:pt>
                <c:pt idx="282">
                  <c:v>23.7</c:v>
                </c:pt>
                <c:pt idx="283">
                  <c:v>23.8</c:v>
                </c:pt>
                <c:pt idx="284">
                  <c:v>23.8</c:v>
                </c:pt>
                <c:pt idx="285">
                  <c:v>23.9</c:v>
                </c:pt>
                <c:pt idx="286">
                  <c:v>24.0</c:v>
                </c:pt>
                <c:pt idx="287">
                  <c:v>24.1</c:v>
                </c:pt>
                <c:pt idx="288">
                  <c:v>24.2</c:v>
                </c:pt>
                <c:pt idx="289">
                  <c:v>24.3</c:v>
                </c:pt>
                <c:pt idx="290">
                  <c:v>24.3</c:v>
                </c:pt>
                <c:pt idx="291">
                  <c:v>24.4</c:v>
                </c:pt>
                <c:pt idx="292">
                  <c:v>24.5</c:v>
                </c:pt>
                <c:pt idx="293">
                  <c:v>24.6</c:v>
                </c:pt>
                <c:pt idx="294">
                  <c:v>24.7</c:v>
                </c:pt>
                <c:pt idx="295">
                  <c:v>24.8</c:v>
                </c:pt>
                <c:pt idx="296">
                  <c:v>24.8</c:v>
                </c:pt>
                <c:pt idx="297">
                  <c:v>24.9</c:v>
                </c:pt>
                <c:pt idx="298">
                  <c:v>25.0</c:v>
                </c:pt>
                <c:pt idx="299">
                  <c:v>25.1</c:v>
                </c:pt>
                <c:pt idx="300">
                  <c:v>25.2</c:v>
                </c:pt>
                <c:pt idx="301">
                  <c:v>25.3</c:v>
                </c:pt>
                <c:pt idx="302">
                  <c:v>25.3</c:v>
                </c:pt>
                <c:pt idx="303">
                  <c:v>25.4</c:v>
                </c:pt>
                <c:pt idx="304">
                  <c:v>25.5</c:v>
                </c:pt>
                <c:pt idx="305">
                  <c:v>25.6</c:v>
                </c:pt>
                <c:pt idx="306">
                  <c:v>25.7</c:v>
                </c:pt>
                <c:pt idx="307">
                  <c:v>25.8</c:v>
                </c:pt>
                <c:pt idx="308">
                  <c:v>25.8</c:v>
                </c:pt>
                <c:pt idx="309">
                  <c:v>25.9</c:v>
                </c:pt>
                <c:pt idx="310">
                  <c:v>26.0</c:v>
                </c:pt>
                <c:pt idx="311">
                  <c:v>26.1</c:v>
                </c:pt>
                <c:pt idx="312">
                  <c:v>26.2</c:v>
                </c:pt>
                <c:pt idx="313">
                  <c:v>26.3</c:v>
                </c:pt>
                <c:pt idx="314">
                  <c:v>26.3</c:v>
                </c:pt>
                <c:pt idx="315">
                  <c:v>26.4</c:v>
                </c:pt>
                <c:pt idx="316">
                  <c:v>26.5</c:v>
                </c:pt>
                <c:pt idx="317">
                  <c:v>26.6</c:v>
                </c:pt>
                <c:pt idx="318">
                  <c:v>26.7</c:v>
                </c:pt>
                <c:pt idx="319">
                  <c:v>26.8</c:v>
                </c:pt>
                <c:pt idx="320">
                  <c:v>26.8</c:v>
                </c:pt>
                <c:pt idx="321">
                  <c:v>26.9</c:v>
                </c:pt>
                <c:pt idx="322">
                  <c:v>27.0</c:v>
                </c:pt>
                <c:pt idx="323">
                  <c:v>27.1</c:v>
                </c:pt>
                <c:pt idx="324">
                  <c:v>27.2</c:v>
                </c:pt>
                <c:pt idx="325">
                  <c:v>27.3</c:v>
                </c:pt>
                <c:pt idx="326">
                  <c:v>27.3</c:v>
                </c:pt>
                <c:pt idx="327">
                  <c:v>27.4</c:v>
                </c:pt>
                <c:pt idx="328">
                  <c:v>27.5</c:v>
                </c:pt>
                <c:pt idx="329">
                  <c:v>27.6</c:v>
                </c:pt>
                <c:pt idx="330">
                  <c:v>27.7</c:v>
                </c:pt>
                <c:pt idx="331">
                  <c:v>27.8</c:v>
                </c:pt>
                <c:pt idx="332">
                  <c:v>27.8</c:v>
                </c:pt>
                <c:pt idx="333">
                  <c:v>27.9</c:v>
                </c:pt>
                <c:pt idx="334">
                  <c:v>28.0</c:v>
                </c:pt>
                <c:pt idx="335">
                  <c:v>28.1</c:v>
                </c:pt>
                <c:pt idx="336">
                  <c:v>28.2</c:v>
                </c:pt>
                <c:pt idx="337">
                  <c:v>28.3</c:v>
                </c:pt>
                <c:pt idx="338">
                  <c:v>28.3</c:v>
                </c:pt>
                <c:pt idx="339">
                  <c:v>28.4</c:v>
                </c:pt>
                <c:pt idx="340">
                  <c:v>28.5</c:v>
                </c:pt>
                <c:pt idx="341">
                  <c:v>28.6</c:v>
                </c:pt>
                <c:pt idx="342">
                  <c:v>28.7</c:v>
                </c:pt>
                <c:pt idx="343">
                  <c:v>28.8</c:v>
                </c:pt>
                <c:pt idx="344">
                  <c:v>28.8</c:v>
                </c:pt>
                <c:pt idx="345">
                  <c:v>28.9</c:v>
                </c:pt>
                <c:pt idx="346">
                  <c:v>29.0</c:v>
                </c:pt>
                <c:pt idx="347">
                  <c:v>29.1</c:v>
                </c:pt>
                <c:pt idx="348">
                  <c:v>29.2</c:v>
                </c:pt>
                <c:pt idx="349">
                  <c:v>29.3</c:v>
                </c:pt>
                <c:pt idx="350">
                  <c:v>29.3</c:v>
                </c:pt>
                <c:pt idx="351">
                  <c:v>29.4</c:v>
                </c:pt>
                <c:pt idx="352">
                  <c:v>29.5</c:v>
                </c:pt>
                <c:pt idx="353">
                  <c:v>29.6</c:v>
                </c:pt>
                <c:pt idx="354">
                  <c:v>29.7</c:v>
                </c:pt>
                <c:pt idx="355">
                  <c:v>29.8</c:v>
                </c:pt>
                <c:pt idx="356">
                  <c:v>29.8</c:v>
                </c:pt>
                <c:pt idx="357">
                  <c:v>29.9</c:v>
                </c:pt>
                <c:pt idx="358">
                  <c:v>30.0</c:v>
                </c:pt>
                <c:pt idx="359">
                  <c:v>30.1</c:v>
                </c:pt>
                <c:pt idx="360">
                  <c:v>30.2</c:v>
                </c:pt>
                <c:pt idx="361">
                  <c:v>30.3</c:v>
                </c:pt>
                <c:pt idx="362">
                  <c:v>30.3</c:v>
                </c:pt>
                <c:pt idx="363">
                  <c:v>30.4</c:v>
                </c:pt>
                <c:pt idx="364">
                  <c:v>30.5</c:v>
                </c:pt>
                <c:pt idx="365">
                  <c:v>30.6</c:v>
                </c:pt>
                <c:pt idx="366">
                  <c:v>30.7</c:v>
                </c:pt>
                <c:pt idx="367">
                  <c:v>30.8</c:v>
                </c:pt>
                <c:pt idx="368">
                  <c:v>30.8</c:v>
                </c:pt>
                <c:pt idx="369">
                  <c:v>30.9</c:v>
                </c:pt>
                <c:pt idx="370">
                  <c:v>31.0</c:v>
                </c:pt>
                <c:pt idx="371">
                  <c:v>31.1</c:v>
                </c:pt>
                <c:pt idx="372">
                  <c:v>31.2</c:v>
                </c:pt>
                <c:pt idx="373">
                  <c:v>31.3</c:v>
                </c:pt>
                <c:pt idx="374">
                  <c:v>31.3</c:v>
                </c:pt>
                <c:pt idx="375">
                  <c:v>31.4</c:v>
                </c:pt>
                <c:pt idx="376">
                  <c:v>31.5</c:v>
                </c:pt>
                <c:pt idx="377">
                  <c:v>31.6</c:v>
                </c:pt>
                <c:pt idx="378">
                  <c:v>31.7</c:v>
                </c:pt>
                <c:pt idx="379">
                  <c:v>31.8</c:v>
                </c:pt>
                <c:pt idx="380">
                  <c:v>31.8</c:v>
                </c:pt>
                <c:pt idx="381">
                  <c:v>31.9</c:v>
                </c:pt>
                <c:pt idx="382">
                  <c:v>32.0</c:v>
                </c:pt>
                <c:pt idx="383">
                  <c:v>32.1</c:v>
                </c:pt>
                <c:pt idx="384">
                  <c:v>32.2</c:v>
                </c:pt>
                <c:pt idx="385">
                  <c:v>32.3</c:v>
                </c:pt>
                <c:pt idx="386">
                  <c:v>32.3</c:v>
                </c:pt>
                <c:pt idx="387">
                  <c:v>32.4</c:v>
                </c:pt>
                <c:pt idx="388">
                  <c:v>32.5</c:v>
                </c:pt>
                <c:pt idx="389">
                  <c:v>32.6</c:v>
                </c:pt>
                <c:pt idx="390">
                  <c:v>32.7</c:v>
                </c:pt>
                <c:pt idx="391">
                  <c:v>32.8</c:v>
                </c:pt>
                <c:pt idx="392">
                  <c:v>32.8</c:v>
                </c:pt>
                <c:pt idx="393">
                  <c:v>32.9</c:v>
                </c:pt>
                <c:pt idx="394">
                  <c:v>33.0</c:v>
                </c:pt>
                <c:pt idx="395">
                  <c:v>33.1</c:v>
                </c:pt>
                <c:pt idx="396">
                  <c:v>33.2</c:v>
                </c:pt>
                <c:pt idx="397">
                  <c:v>33.3</c:v>
                </c:pt>
                <c:pt idx="398">
                  <c:v>33.3</c:v>
                </c:pt>
                <c:pt idx="399">
                  <c:v>33.4</c:v>
                </c:pt>
                <c:pt idx="400">
                  <c:v>33.5</c:v>
                </c:pt>
                <c:pt idx="401">
                  <c:v>33.6</c:v>
                </c:pt>
                <c:pt idx="402">
                  <c:v>33.7</c:v>
                </c:pt>
                <c:pt idx="403">
                  <c:v>33.8</c:v>
                </c:pt>
                <c:pt idx="404">
                  <c:v>33.8</c:v>
                </c:pt>
                <c:pt idx="405">
                  <c:v>33.9</c:v>
                </c:pt>
                <c:pt idx="406">
                  <c:v>34.0</c:v>
                </c:pt>
                <c:pt idx="407">
                  <c:v>34.1</c:v>
                </c:pt>
                <c:pt idx="408">
                  <c:v>34.2</c:v>
                </c:pt>
                <c:pt idx="409">
                  <c:v>34.3</c:v>
                </c:pt>
                <c:pt idx="410">
                  <c:v>34.3</c:v>
                </c:pt>
                <c:pt idx="411">
                  <c:v>34.4</c:v>
                </c:pt>
                <c:pt idx="412">
                  <c:v>34.5</c:v>
                </c:pt>
                <c:pt idx="413">
                  <c:v>34.6</c:v>
                </c:pt>
                <c:pt idx="414">
                  <c:v>34.7</c:v>
                </c:pt>
                <c:pt idx="415">
                  <c:v>34.8</c:v>
                </c:pt>
                <c:pt idx="416">
                  <c:v>34.8</c:v>
                </c:pt>
                <c:pt idx="417">
                  <c:v>34.9</c:v>
                </c:pt>
                <c:pt idx="418">
                  <c:v>35.0</c:v>
                </c:pt>
                <c:pt idx="419">
                  <c:v>35.1</c:v>
                </c:pt>
                <c:pt idx="420">
                  <c:v>35.2</c:v>
                </c:pt>
                <c:pt idx="421">
                  <c:v>35.3</c:v>
                </c:pt>
                <c:pt idx="422">
                  <c:v>35.3</c:v>
                </c:pt>
                <c:pt idx="423">
                  <c:v>35.4</c:v>
                </c:pt>
                <c:pt idx="424">
                  <c:v>35.5</c:v>
                </c:pt>
                <c:pt idx="425">
                  <c:v>35.6</c:v>
                </c:pt>
                <c:pt idx="426">
                  <c:v>35.7</c:v>
                </c:pt>
                <c:pt idx="427">
                  <c:v>35.8</c:v>
                </c:pt>
                <c:pt idx="428">
                  <c:v>35.8</c:v>
                </c:pt>
                <c:pt idx="429">
                  <c:v>35.9</c:v>
                </c:pt>
                <c:pt idx="430">
                  <c:v>36.0</c:v>
                </c:pt>
                <c:pt idx="431">
                  <c:v>36.1</c:v>
                </c:pt>
                <c:pt idx="432">
                  <c:v>36.2</c:v>
                </c:pt>
                <c:pt idx="433">
                  <c:v>36.3</c:v>
                </c:pt>
                <c:pt idx="434">
                  <c:v>36.3</c:v>
                </c:pt>
                <c:pt idx="435">
                  <c:v>36.4</c:v>
                </c:pt>
                <c:pt idx="436">
                  <c:v>36.5</c:v>
                </c:pt>
                <c:pt idx="437">
                  <c:v>36.6</c:v>
                </c:pt>
                <c:pt idx="438">
                  <c:v>36.7</c:v>
                </c:pt>
                <c:pt idx="439">
                  <c:v>36.8</c:v>
                </c:pt>
                <c:pt idx="440">
                  <c:v>36.8</c:v>
                </c:pt>
                <c:pt idx="441">
                  <c:v>36.9</c:v>
                </c:pt>
                <c:pt idx="442">
                  <c:v>37.0</c:v>
                </c:pt>
                <c:pt idx="443">
                  <c:v>37.1</c:v>
                </c:pt>
                <c:pt idx="444">
                  <c:v>37.2</c:v>
                </c:pt>
                <c:pt idx="445">
                  <c:v>37.3</c:v>
                </c:pt>
                <c:pt idx="446">
                  <c:v>37.3</c:v>
                </c:pt>
                <c:pt idx="447">
                  <c:v>37.4</c:v>
                </c:pt>
                <c:pt idx="448">
                  <c:v>37.5</c:v>
                </c:pt>
                <c:pt idx="449">
                  <c:v>37.6</c:v>
                </c:pt>
                <c:pt idx="450">
                  <c:v>37.7</c:v>
                </c:pt>
                <c:pt idx="451">
                  <c:v>37.8</c:v>
                </c:pt>
                <c:pt idx="452">
                  <c:v>37.8</c:v>
                </c:pt>
                <c:pt idx="453">
                  <c:v>37.9</c:v>
                </c:pt>
                <c:pt idx="454">
                  <c:v>38.0</c:v>
                </c:pt>
                <c:pt idx="455">
                  <c:v>38.1</c:v>
                </c:pt>
                <c:pt idx="456">
                  <c:v>38.2</c:v>
                </c:pt>
                <c:pt idx="457">
                  <c:v>38.3</c:v>
                </c:pt>
                <c:pt idx="458">
                  <c:v>38.3</c:v>
                </c:pt>
                <c:pt idx="459">
                  <c:v>38.4</c:v>
                </c:pt>
                <c:pt idx="460">
                  <c:v>38.5</c:v>
                </c:pt>
                <c:pt idx="461">
                  <c:v>38.6</c:v>
                </c:pt>
                <c:pt idx="462">
                  <c:v>38.7</c:v>
                </c:pt>
                <c:pt idx="463">
                  <c:v>38.8</c:v>
                </c:pt>
                <c:pt idx="464">
                  <c:v>38.8</c:v>
                </c:pt>
                <c:pt idx="465">
                  <c:v>38.9</c:v>
                </c:pt>
                <c:pt idx="466">
                  <c:v>39.0</c:v>
                </c:pt>
                <c:pt idx="467">
                  <c:v>39.1</c:v>
                </c:pt>
                <c:pt idx="468">
                  <c:v>39.2</c:v>
                </c:pt>
                <c:pt idx="469">
                  <c:v>39.3</c:v>
                </c:pt>
                <c:pt idx="470">
                  <c:v>39.3</c:v>
                </c:pt>
                <c:pt idx="471">
                  <c:v>39.4</c:v>
                </c:pt>
                <c:pt idx="472">
                  <c:v>39.5</c:v>
                </c:pt>
                <c:pt idx="473">
                  <c:v>39.6</c:v>
                </c:pt>
                <c:pt idx="474">
                  <c:v>39.7</c:v>
                </c:pt>
                <c:pt idx="475">
                  <c:v>39.8</c:v>
                </c:pt>
                <c:pt idx="476">
                  <c:v>39.8</c:v>
                </c:pt>
                <c:pt idx="477">
                  <c:v>39.9</c:v>
                </c:pt>
                <c:pt idx="478">
                  <c:v>40.0</c:v>
                </c:pt>
                <c:pt idx="479">
                  <c:v>40.1</c:v>
                </c:pt>
                <c:pt idx="480">
                  <c:v>40.2</c:v>
                </c:pt>
                <c:pt idx="481">
                  <c:v>40.3</c:v>
                </c:pt>
                <c:pt idx="482">
                  <c:v>40.3</c:v>
                </c:pt>
                <c:pt idx="483">
                  <c:v>40.4</c:v>
                </c:pt>
                <c:pt idx="484">
                  <c:v>40.5</c:v>
                </c:pt>
                <c:pt idx="485">
                  <c:v>40.6</c:v>
                </c:pt>
                <c:pt idx="486">
                  <c:v>40.7</c:v>
                </c:pt>
                <c:pt idx="487">
                  <c:v>40.8</c:v>
                </c:pt>
                <c:pt idx="488">
                  <c:v>40.8</c:v>
                </c:pt>
                <c:pt idx="489">
                  <c:v>40.9</c:v>
                </c:pt>
                <c:pt idx="490">
                  <c:v>41.0</c:v>
                </c:pt>
                <c:pt idx="491">
                  <c:v>41.1</c:v>
                </c:pt>
                <c:pt idx="492">
                  <c:v>41.2</c:v>
                </c:pt>
                <c:pt idx="493">
                  <c:v>41.3</c:v>
                </c:pt>
                <c:pt idx="494">
                  <c:v>41.3</c:v>
                </c:pt>
                <c:pt idx="495">
                  <c:v>41.4</c:v>
                </c:pt>
                <c:pt idx="496">
                  <c:v>41.5</c:v>
                </c:pt>
                <c:pt idx="497">
                  <c:v>41.6</c:v>
                </c:pt>
                <c:pt idx="498">
                  <c:v>41.7</c:v>
                </c:pt>
                <c:pt idx="499">
                  <c:v>41.8</c:v>
                </c:pt>
                <c:pt idx="500">
                  <c:v>41.8</c:v>
                </c:pt>
                <c:pt idx="501">
                  <c:v>41.9</c:v>
                </c:pt>
                <c:pt idx="502">
                  <c:v>42.0</c:v>
                </c:pt>
                <c:pt idx="503">
                  <c:v>42.1</c:v>
                </c:pt>
                <c:pt idx="504">
                  <c:v>42.2</c:v>
                </c:pt>
                <c:pt idx="505">
                  <c:v>42.3</c:v>
                </c:pt>
                <c:pt idx="506">
                  <c:v>42.3</c:v>
                </c:pt>
                <c:pt idx="507">
                  <c:v>42.4</c:v>
                </c:pt>
                <c:pt idx="508">
                  <c:v>42.5</c:v>
                </c:pt>
                <c:pt idx="509">
                  <c:v>42.6</c:v>
                </c:pt>
                <c:pt idx="510">
                  <c:v>42.7</c:v>
                </c:pt>
                <c:pt idx="511">
                  <c:v>42.8</c:v>
                </c:pt>
                <c:pt idx="512">
                  <c:v>42.8</c:v>
                </c:pt>
                <c:pt idx="513">
                  <c:v>42.9</c:v>
                </c:pt>
                <c:pt idx="514">
                  <c:v>43.0</c:v>
                </c:pt>
                <c:pt idx="515">
                  <c:v>43.1</c:v>
                </c:pt>
                <c:pt idx="516">
                  <c:v>43.2</c:v>
                </c:pt>
                <c:pt idx="517">
                  <c:v>43.3</c:v>
                </c:pt>
                <c:pt idx="518">
                  <c:v>43.3</c:v>
                </c:pt>
                <c:pt idx="519">
                  <c:v>43.4</c:v>
                </c:pt>
                <c:pt idx="520">
                  <c:v>43.5</c:v>
                </c:pt>
                <c:pt idx="521">
                  <c:v>43.6</c:v>
                </c:pt>
                <c:pt idx="522">
                  <c:v>43.7</c:v>
                </c:pt>
                <c:pt idx="523">
                  <c:v>43.8</c:v>
                </c:pt>
                <c:pt idx="524">
                  <c:v>43.8</c:v>
                </c:pt>
                <c:pt idx="525">
                  <c:v>43.9</c:v>
                </c:pt>
                <c:pt idx="526">
                  <c:v>44.0</c:v>
                </c:pt>
                <c:pt idx="527">
                  <c:v>44.1</c:v>
                </c:pt>
                <c:pt idx="528">
                  <c:v>44.2</c:v>
                </c:pt>
                <c:pt idx="529">
                  <c:v>44.3</c:v>
                </c:pt>
                <c:pt idx="530">
                  <c:v>44.3</c:v>
                </c:pt>
                <c:pt idx="531">
                  <c:v>44.4</c:v>
                </c:pt>
                <c:pt idx="532">
                  <c:v>44.5</c:v>
                </c:pt>
                <c:pt idx="533">
                  <c:v>44.6</c:v>
                </c:pt>
                <c:pt idx="534">
                  <c:v>44.7</c:v>
                </c:pt>
                <c:pt idx="535">
                  <c:v>44.8</c:v>
                </c:pt>
                <c:pt idx="536">
                  <c:v>44.8</c:v>
                </c:pt>
                <c:pt idx="537">
                  <c:v>44.9</c:v>
                </c:pt>
                <c:pt idx="538">
                  <c:v>45.0</c:v>
                </c:pt>
                <c:pt idx="539">
                  <c:v>45.1</c:v>
                </c:pt>
                <c:pt idx="540">
                  <c:v>45.2</c:v>
                </c:pt>
                <c:pt idx="541">
                  <c:v>45.3</c:v>
                </c:pt>
                <c:pt idx="542">
                  <c:v>45.3</c:v>
                </c:pt>
                <c:pt idx="543">
                  <c:v>45.4</c:v>
                </c:pt>
                <c:pt idx="544">
                  <c:v>45.5</c:v>
                </c:pt>
                <c:pt idx="545">
                  <c:v>45.6</c:v>
                </c:pt>
                <c:pt idx="546">
                  <c:v>45.7</c:v>
                </c:pt>
                <c:pt idx="547">
                  <c:v>45.8</c:v>
                </c:pt>
                <c:pt idx="548">
                  <c:v>45.8</c:v>
                </c:pt>
                <c:pt idx="549">
                  <c:v>45.9</c:v>
                </c:pt>
                <c:pt idx="550">
                  <c:v>46.0</c:v>
                </c:pt>
                <c:pt idx="551">
                  <c:v>46.1</c:v>
                </c:pt>
                <c:pt idx="552">
                  <c:v>46.2</c:v>
                </c:pt>
                <c:pt idx="553">
                  <c:v>46.3</c:v>
                </c:pt>
                <c:pt idx="554">
                  <c:v>46.3</c:v>
                </c:pt>
                <c:pt idx="555">
                  <c:v>46.4</c:v>
                </c:pt>
                <c:pt idx="556">
                  <c:v>46.5</c:v>
                </c:pt>
                <c:pt idx="557">
                  <c:v>46.6</c:v>
                </c:pt>
                <c:pt idx="558">
                  <c:v>46.7</c:v>
                </c:pt>
                <c:pt idx="559">
                  <c:v>46.8</c:v>
                </c:pt>
                <c:pt idx="560">
                  <c:v>46.8</c:v>
                </c:pt>
                <c:pt idx="561">
                  <c:v>46.9</c:v>
                </c:pt>
                <c:pt idx="562">
                  <c:v>47.0</c:v>
                </c:pt>
                <c:pt idx="563">
                  <c:v>47.1</c:v>
                </c:pt>
                <c:pt idx="564">
                  <c:v>47.2</c:v>
                </c:pt>
                <c:pt idx="565">
                  <c:v>47.3</c:v>
                </c:pt>
                <c:pt idx="566">
                  <c:v>47.3</c:v>
                </c:pt>
                <c:pt idx="567">
                  <c:v>47.4</c:v>
                </c:pt>
                <c:pt idx="568">
                  <c:v>47.5</c:v>
                </c:pt>
                <c:pt idx="569">
                  <c:v>47.6</c:v>
                </c:pt>
                <c:pt idx="570">
                  <c:v>47.7</c:v>
                </c:pt>
                <c:pt idx="571">
                  <c:v>47.8</c:v>
                </c:pt>
                <c:pt idx="572">
                  <c:v>47.8</c:v>
                </c:pt>
                <c:pt idx="573">
                  <c:v>47.9</c:v>
                </c:pt>
                <c:pt idx="574">
                  <c:v>48.0</c:v>
                </c:pt>
                <c:pt idx="575">
                  <c:v>48.1</c:v>
                </c:pt>
                <c:pt idx="576">
                  <c:v>48.2</c:v>
                </c:pt>
                <c:pt idx="577">
                  <c:v>48.3</c:v>
                </c:pt>
                <c:pt idx="578">
                  <c:v>48.3</c:v>
                </c:pt>
                <c:pt idx="579">
                  <c:v>48.4</c:v>
                </c:pt>
                <c:pt idx="580">
                  <c:v>48.5</c:v>
                </c:pt>
                <c:pt idx="581">
                  <c:v>48.6</c:v>
                </c:pt>
                <c:pt idx="582">
                  <c:v>48.7</c:v>
                </c:pt>
                <c:pt idx="583">
                  <c:v>48.8</c:v>
                </c:pt>
                <c:pt idx="584">
                  <c:v>48.8</c:v>
                </c:pt>
                <c:pt idx="585">
                  <c:v>48.9</c:v>
                </c:pt>
                <c:pt idx="586">
                  <c:v>49.0</c:v>
                </c:pt>
                <c:pt idx="587">
                  <c:v>49.1</c:v>
                </c:pt>
                <c:pt idx="588">
                  <c:v>49.2</c:v>
                </c:pt>
                <c:pt idx="589">
                  <c:v>49.3</c:v>
                </c:pt>
                <c:pt idx="590">
                  <c:v>49.3</c:v>
                </c:pt>
                <c:pt idx="591">
                  <c:v>49.4</c:v>
                </c:pt>
                <c:pt idx="592">
                  <c:v>49.5</c:v>
                </c:pt>
                <c:pt idx="593">
                  <c:v>49.6</c:v>
                </c:pt>
                <c:pt idx="594">
                  <c:v>49.7</c:v>
                </c:pt>
                <c:pt idx="595">
                  <c:v>49.8</c:v>
                </c:pt>
                <c:pt idx="596">
                  <c:v>49.8</c:v>
                </c:pt>
                <c:pt idx="597">
                  <c:v>49.9</c:v>
                </c:pt>
              </c:strCache>
            </c:strRef>
          </c:cat>
          <c:val>
            <c:numRef>
              <c:f>結果サマリー!$X$6:$X$603</c:f>
              <c:numCache>
                <c:formatCode>#,##0</c:formatCode>
                <c:ptCount val="598"/>
                <c:pt idx="0">
                  <c:v>49629.037340523239</c:v>
                </c:pt>
                <c:pt idx="1">
                  <c:v>49629.037340523239</c:v>
                </c:pt>
                <c:pt idx="2">
                  <c:v>49629.037340523239</c:v>
                </c:pt>
                <c:pt idx="3">
                  <c:v>49629.037340523239</c:v>
                </c:pt>
                <c:pt idx="4">
                  <c:v>49629.037340523239</c:v>
                </c:pt>
                <c:pt idx="5">
                  <c:v>49629.037340523239</c:v>
                </c:pt>
                <c:pt idx="6">
                  <c:v>49629.037340523239</c:v>
                </c:pt>
                <c:pt idx="7">
                  <c:v>49629.037340523239</c:v>
                </c:pt>
                <c:pt idx="8">
                  <c:v>49629.037340523239</c:v>
                </c:pt>
                <c:pt idx="9">
                  <c:v>49629.037340523239</c:v>
                </c:pt>
                <c:pt idx="10">
                  <c:v>49629.037340523239</c:v>
                </c:pt>
                <c:pt idx="11">
                  <c:v>49629.037340523239</c:v>
                </c:pt>
                <c:pt idx="12">
                  <c:v>49629.037340523239</c:v>
                </c:pt>
                <c:pt idx="13">
                  <c:v>49629.037340523239</c:v>
                </c:pt>
                <c:pt idx="14">
                  <c:v>49629.037340523239</c:v>
                </c:pt>
                <c:pt idx="15">
                  <c:v>49629.037340523239</c:v>
                </c:pt>
                <c:pt idx="16">
                  <c:v>49629.037340523239</c:v>
                </c:pt>
                <c:pt idx="17">
                  <c:v>49629.037340523239</c:v>
                </c:pt>
                <c:pt idx="18">
                  <c:v>49629.037340523239</c:v>
                </c:pt>
                <c:pt idx="19">
                  <c:v>49629.037340523239</c:v>
                </c:pt>
                <c:pt idx="20">
                  <c:v>49629.037340523239</c:v>
                </c:pt>
                <c:pt idx="21">
                  <c:v>49629.037340523239</c:v>
                </c:pt>
                <c:pt idx="22">
                  <c:v>49629.037340523239</c:v>
                </c:pt>
                <c:pt idx="23">
                  <c:v>49629.037340523239</c:v>
                </c:pt>
                <c:pt idx="24">
                  <c:v>49629.037340523239</c:v>
                </c:pt>
                <c:pt idx="25">
                  <c:v>49629.037340523239</c:v>
                </c:pt>
                <c:pt idx="26">
                  <c:v>49629.037340523239</c:v>
                </c:pt>
                <c:pt idx="27">
                  <c:v>49629.037340523239</c:v>
                </c:pt>
                <c:pt idx="28">
                  <c:v>49629.037340523239</c:v>
                </c:pt>
                <c:pt idx="29">
                  <c:v>49629.037340523239</c:v>
                </c:pt>
                <c:pt idx="30">
                  <c:v>49629.037340523239</c:v>
                </c:pt>
                <c:pt idx="31">
                  <c:v>49629.037340523239</c:v>
                </c:pt>
                <c:pt idx="32">
                  <c:v>49629.037340523239</c:v>
                </c:pt>
                <c:pt idx="33">
                  <c:v>49629.037340523239</c:v>
                </c:pt>
                <c:pt idx="34">
                  <c:v>49629.037340523239</c:v>
                </c:pt>
                <c:pt idx="35">
                  <c:v>49629.037340523239</c:v>
                </c:pt>
                <c:pt idx="36">
                  <c:v>49629.037340523239</c:v>
                </c:pt>
                <c:pt idx="37">
                  <c:v>49629.037340523239</c:v>
                </c:pt>
                <c:pt idx="38">
                  <c:v>49629.037340523239</c:v>
                </c:pt>
                <c:pt idx="39">
                  <c:v>49629.037340523239</c:v>
                </c:pt>
                <c:pt idx="40">
                  <c:v>49629.037340523239</c:v>
                </c:pt>
                <c:pt idx="41">
                  <c:v>49629.037340523239</c:v>
                </c:pt>
                <c:pt idx="42">
                  <c:v>49629.037340523239</c:v>
                </c:pt>
                <c:pt idx="43">
                  <c:v>49629.037340523239</c:v>
                </c:pt>
                <c:pt idx="44">
                  <c:v>49629.037340523239</c:v>
                </c:pt>
                <c:pt idx="45">
                  <c:v>49629.037340523239</c:v>
                </c:pt>
                <c:pt idx="46">
                  <c:v>49629.037340523239</c:v>
                </c:pt>
                <c:pt idx="47">
                  <c:v>49629.037340523239</c:v>
                </c:pt>
                <c:pt idx="48">
                  <c:v>49629.037340523239</c:v>
                </c:pt>
                <c:pt idx="49">
                  <c:v>49629.037340523239</c:v>
                </c:pt>
                <c:pt idx="50">
                  <c:v>49629.037340523239</c:v>
                </c:pt>
                <c:pt idx="51">
                  <c:v>49629.037340523239</c:v>
                </c:pt>
                <c:pt idx="52">
                  <c:v>49629.037340523239</c:v>
                </c:pt>
                <c:pt idx="53">
                  <c:v>49629.037340523239</c:v>
                </c:pt>
                <c:pt idx="54">
                  <c:v>49629.037340523239</c:v>
                </c:pt>
                <c:pt idx="55">
                  <c:v>49629.037340523239</c:v>
                </c:pt>
                <c:pt idx="56">
                  <c:v>49629.037340523239</c:v>
                </c:pt>
                <c:pt idx="57">
                  <c:v>49629.037340523239</c:v>
                </c:pt>
                <c:pt idx="58">
                  <c:v>31151.030677165953</c:v>
                </c:pt>
                <c:pt idx="59">
                  <c:v>31151.030677165953</c:v>
                </c:pt>
                <c:pt idx="60">
                  <c:v>31151.030677165953</c:v>
                </c:pt>
                <c:pt idx="61">
                  <c:v>31151.030677165953</c:v>
                </c:pt>
                <c:pt idx="62">
                  <c:v>31151.030677165953</c:v>
                </c:pt>
                <c:pt idx="63">
                  <c:v>31151.030677165953</c:v>
                </c:pt>
                <c:pt idx="64">
                  <c:v>31151.030677165953</c:v>
                </c:pt>
                <c:pt idx="65">
                  <c:v>31151.030677165953</c:v>
                </c:pt>
                <c:pt idx="66">
                  <c:v>31151.030677165953</c:v>
                </c:pt>
                <c:pt idx="67">
                  <c:v>31151.030677165953</c:v>
                </c:pt>
                <c:pt idx="68">
                  <c:v>31151.030677165953</c:v>
                </c:pt>
                <c:pt idx="69">
                  <c:v>31151.030677165953</c:v>
                </c:pt>
                <c:pt idx="70">
                  <c:v>31151.030677165953</c:v>
                </c:pt>
                <c:pt idx="71">
                  <c:v>31151.030677165953</c:v>
                </c:pt>
                <c:pt idx="72">
                  <c:v>31151.030677165953</c:v>
                </c:pt>
                <c:pt idx="73">
                  <c:v>31151.030677165953</c:v>
                </c:pt>
                <c:pt idx="74">
                  <c:v>31151.030677165953</c:v>
                </c:pt>
                <c:pt idx="75">
                  <c:v>31151.030677165953</c:v>
                </c:pt>
                <c:pt idx="76">
                  <c:v>31151.030677165953</c:v>
                </c:pt>
                <c:pt idx="77">
                  <c:v>31151.030677165953</c:v>
                </c:pt>
                <c:pt idx="78">
                  <c:v>31151.030677165953</c:v>
                </c:pt>
                <c:pt idx="79">
                  <c:v>31151.030677165953</c:v>
                </c:pt>
                <c:pt idx="80">
                  <c:v>31151.030677165953</c:v>
                </c:pt>
                <c:pt idx="81">
                  <c:v>31151.030677165953</c:v>
                </c:pt>
                <c:pt idx="82">
                  <c:v>31151.030677165953</c:v>
                </c:pt>
                <c:pt idx="83">
                  <c:v>31151.030677165953</c:v>
                </c:pt>
                <c:pt idx="84">
                  <c:v>31151.030677165953</c:v>
                </c:pt>
                <c:pt idx="85">
                  <c:v>31151.030677165953</c:v>
                </c:pt>
                <c:pt idx="86">
                  <c:v>31151.030677165953</c:v>
                </c:pt>
                <c:pt idx="87">
                  <c:v>31151.030677165953</c:v>
                </c:pt>
                <c:pt idx="88">
                  <c:v>31151.030677165953</c:v>
                </c:pt>
                <c:pt idx="89">
                  <c:v>31151.030677165953</c:v>
                </c:pt>
                <c:pt idx="90">
                  <c:v>31151.030677165953</c:v>
                </c:pt>
                <c:pt idx="91">
                  <c:v>31151.030677165953</c:v>
                </c:pt>
                <c:pt idx="92">
                  <c:v>31151.030677165953</c:v>
                </c:pt>
                <c:pt idx="93">
                  <c:v>31151.030677165953</c:v>
                </c:pt>
                <c:pt idx="94">
                  <c:v>31151.030677165953</c:v>
                </c:pt>
                <c:pt idx="95">
                  <c:v>31151.030677165953</c:v>
                </c:pt>
                <c:pt idx="96">
                  <c:v>31151.030677165953</c:v>
                </c:pt>
                <c:pt idx="97">
                  <c:v>31151.030677165953</c:v>
                </c:pt>
                <c:pt idx="98">
                  <c:v>31151.030677165953</c:v>
                </c:pt>
                <c:pt idx="99">
                  <c:v>31151.030677165953</c:v>
                </c:pt>
                <c:pt idx="100">
                  <c:v>31151.030677165953</c:v>
                </c:pt>
                <c:pt idx="101">
                  <c:v>31151.030677165953</c:v>
                </c:pt>
                <c:pt idx="102">
                  <c:v>31151.030677165953</c:v>
                </c:pt>
                <c:pt idx="103">
                  <c:v>31151.030677165953</c:v>
                </c:pt>
                <c:pt idx="104">
                  <c:v>31151.030677165953</c:v>
                </c:pt>
                <c:pt idx="105">
                  <c:v>31151.030677165953</c:v>
                </c:pt>
                <c:pt idx="106">
                  <c:v>31151.030677165953</c:v>
                </c:pt>
                <c:pt idx="107">
                  <c:v>31151.030677165953</c:v>
                </c:pt>
                <c:pt idx="108">
                  <c:v>31151.030677165953</c:v>
                </c:pt>
                <c:pt idx="109">
                  <c:v>31151.030677165953</c:v>
                </c:pt>
                <c:pt idx="110">
                  <c:v>31151.030677165953</c:v>
                </c:pt>
                <c:pt idx="111">
                  <c:v>31151.030677165953</c:v>
                </c:pt>
                <c:pt idx="112">
                  <c:v>31151.030677165953</c:v>
                </c:pt>
                <c:pt idx="113">
                  <c:v>31151.030677165953</c:v>
                </c:pt>
                <c:pt idx="114">
                  <c:v>31151.030677165953</c:v>
                </c:pt>
                <c:pt idx="115">
                  <c:v>31151.030677165953</c:v>
                </c:pt>
                <c:pt idx="116">
                  <c:v>31151.030677165953</c:v>
                </c:pt>
                <c:pt idx="117">
                  <c:v>31151.030677165953</c:v>
                </c:pt>
                <c:pt idx="118">
                  <c:v>25180.446352130675</c:v>
                </c:pt>
                <c:pt idx="119">
                  <c:v>25180.446352130675</c:v>
                </c:pt>
                <c:pt idx="120">
                  <c:v>25180.446352130675</c:v>
                </c:pt>
                <c:pt idx="121">
                  <c:v>25180.446352130675</c:v>
                </c:pt>
                <c:pt idx="122">
                  <c:v>25180.446352130675</c:v>
                </c:pt>
                <c:pt idx="123">
                  <c:v>25180.446352130675</c:v>
                </c:pt>
                <c:pt idx="124">
                  <c:v>25180.446352130675</c:v>
                </c:pt>
                <c:pt idx="125">
                  <c:v>25180.446352130675</c:v>
                </c:pt>
                <c:pt idx="126">
                  <c:v>25180.446352130675</c:v>
                </c:pt>
                <c:pt idx="127">
                  <c:v>25180.446352130675</c:v>
                </c:pt>
                <c:pt idx="128">
                  <c:v>25180.446352130675</c:v>
                </c:pt>
                <c:pt idx="129">
                  <c:v>25180.446352130675</c:v>
                </c:pt>
                <c:pt idx="130">
                  <c:v>25180.446352130675</c:v>
                </c:pt>
                <c:pt idx="131">
                  <c:v>25180.446352130675</c:v>
                </c:pt>
                <c:pt idx="132">
                  <c:v>25180.446352130675</c:v>
                </c:pt>
                <c:pt idx="133">
                  <c:v>25180.446352130675</c:v>
                </c:pt>
                <c:pt idx="134">
                  <c:v>25180.446352130675</c:v>
                </c:pt>
                <c:pt idx="135">
                  <c:v>25180.446352130675</c:v>
                </c:pt>
                <c:pt idx="136">
                  <c:v>25180.446352130675</c:v>
                </c:pt>
                <c:pt idx="137">
                  <c:v>25180.446352130675</c:v>
                </c:pt>
                <c:pt idx="138">
                  <c:v>25180.446352130675</c:v>
                </c:pt>
                <c:pt idx="139">
                  <c:v>25180.446352130675</c:v>
                </c:pt>
                <c:pt idx="140">
                  <c:v>25180.446352130675</c:v>
                </c:pt>
                <c:pt idx="141">
                  <c:v>25180.446352130675</c:v>
                </c:pt>
                <c:pt idx="142">
                  <c:v>25180.446352130675</c:v>
                </c:pt>
                <c:pt idx="143">
                  <c:v>25180.446352130675</c:v>
                </c:pt>
                <c:pt idx="144">
                  <c:v>25180.446352130675</c:v>
                </c:pt>
                <c:pt idx="145">
                  <c:v>25180.446352130675</c:v>
                </c:pt>
                <c:pt idx="146">
                  <c:v>25180.446352130675</c:v>
                </c:pt>
                <c:pt idx="147">
                  <c:v>25180.446352130675</c:v>
                </c:pt>
                <c:pt idx="148">
                  <c:v>25180.446352130675</c:v>
                </c:pt>
                <c:pt idx="149">
                  <c:v>25180.446352130675</c:v>
                </c:pt>
                <c:pt idx="150">
                  <c:v>25180.446352130675</c:v>
                </c:pt>
                <c:pt idx="151">
                  <c:v>25180.446352130675</c:v>
                </c:pt>
                <c:pt idx="152">
                  <c:v>25180.446352130675</c:v>
                </c:pt>
                <c:pt idx="153">
                  <c:v>25180.446352130675</c:v>
                </c:pt>
                <c:pt idx="154">
                  <c:v>25180.446352130675</c:v>
                </c:pt>
                <c:pt idx="155">
                  <c:v>25180.446352130675</c:v>
                </c:pt>
                <c:pt idx="156">
                  <c:v>25180.446352130675</c:v>
                </c:pt>
                <c:pt idx="157">
                  <c:v>25180.446352130675</c:v>
                </c:pt>
                <c:pt idx="158">
                  <c:v>25180.446352130675</c:v>
                </c:pt>
                <c:pt idx="159">
                  <c:v>25180.446352130675</c:v>
                </c:pt>
                <c:pt idx="160">
                  <c:v>25180.446352130675</c:v>
                </c:pt>
                <c:pt idx="161">
                  <c:v>25180.446352130675</c:v>
                </c:pt>
                <c:pt idx="162">
                  <c:v>25180.446352130675</c:v>
                </c:pt>
                <c:pt idx="163">
                  <c:v>25180.446352130675</c:v>
                </c:pt>
                <c:pt idx="164">
                  <c:v>25180.446352130675</c:v>
                </c:pt>
                <c:pt idx="165">
                  <c:v>25180.446352130675</c:v>
                </c:pt>
                <c:pt idx="166">
                  <c:v>25180.446352130675</c:v>
                </c:pt>
                <c:pt idx="167">
                  <c:v>25180.446352130675</c:v>
                </c:pt>
                <c:pt idx="168">
                  <c:v>25180.446352130675</c:v>
                </c:pt>
                <c:pt idx="169">
                  <c:v>25180.446352130675</c:v>
                </c:pt>
                <c:pt idx="170">
                  <c:v>25180.446352130675</c:v>
                </c:pt>
                <c:pt idx="171">
                  <c:v>25180.446352130675</c:v>
                </c:pt>
                <c:pt idx="172">
                  <c:v>25180.446352130675</c:v>
                </c:pt>
                <c:pt idx="173">
                  <c:v>25180.446352130675</c:v>
                </c:pt>
                <c:pt idx="174">
                  <c:v>25180.446352130675</c:v>
                </c:pt>
                <c:pt idx="175">
                  <c:v>25180.446352130675</c:v>
                </c:pt>
                <c:pt idx="176">
                  <c:v>25180.446352130675</c:v>
                </c:pt>
                <c:pt idx="177">
                  <c:v>25180.446352130675</c:v>
                </c:pt>
                <c:pt idx="178">
                  <c:v>15375.207483347855</c:v>
                </c:pt>
                <c:pt idx="179">
                  <c:v>15375.207483347855</c:v>
                </c:pt>
                <c:pt idx="180">
                  <c:v>15375.207483347855</c:v>
                </c:pt>
                <c:pt idx="181">
                  <c:v>15375.207483347855</c:v>
                </c:pt>
                <c:pt idx="182">
                  <c:v>15375.207483347855</c:v>
                </c:pt>
                <c:pt idx="183">
                  <c:v>15375.207483347855</c:v>
                </c:pt>
                <c:pt idx="184">
                  <c:v>15375.207483347855</c:v>
                </c:pt>
                <c:pt idx="185">
                  <c:v>15375.207483347855</c:v>
                </c:pt>
                <c:pt idx="186">
                  <c:v>15375.207483347855</c:v>
                </c:pt>
                <c:pt idx="187">
                  <c:v>15375.207483347855</c:v>
                </c:pt>
                <c:pt idx="188">
                  <c:v>15375.207483347855</c:v>
                </c:pt>
                <c:pt idx="189">
                  <c:v>15375.207483347855</c:v>
                </c:pt>
                <c:pt idx="190">
                  <c:v>15375.207483347855</c:v>
                </c:pt>
                <c:pt idx="191">
                  <c:v>15375.207483347855</c:v>
                </c:pt>
                <c:pt idx="192">
                  <c:v>15375.207483347855</c:v>
                </c:pt>
                <c:pt idx="193">
                  <c:v>15375.207483347855</c:v>
                </c:pt>
                <c:pt idx="194">
                  <c:v>15375.207483347855</c:v>
                </c:pt>
                <c:pt idx="195">
                  <c:v>15375.207483347855</c:v>
                </c:pt>
                <c:pt idx="196">
                  <c:v>15375.207483347855</c:v>
                </c:pt>
                <c:pt idx="197">
                  <c:v>15375.207483347855</c:v>
                </c:pt>
                <c:pt idx="198">
                  <c:v>15375.207483347855</c:v>
                </c:pt>
                <c:pt idx="199">
                  <c:v>15375.207483347855</c:v>
                </c:pt>
                <c:pt idx="200">
                  <c:v>15375.207483347855</c:v>
                </c:pt>
                <c:pt idx="201">
                  <c:v>15375.207483347855</c:v>
                </c:pt>
                <c:pt idx="202">
                  <c:v>15375.207483347855</c:v>
                </c:pt>
                <c:pt idx="203">
                  <c:v>15375.207483347855</c:v>
                </c:pt>
                <c:pt idx="204">
                  <c:v>15375.207483347855</c:v>
                </c:pt>
                <c:pt idx="205">
                  <c:v>15375.207483347855</c:v>
                </c:pt>
                <c:pt idx="206">
                  <c:v>15375.207483347855</c:v>
                </c:pt>
                <c:pt idx="207">
                  <c:v>15375.207483347855</c:v>
                </c:pt>
                <c:pt idx="208">
                  <c:v>15375.207483347855</c:v>
                </c:pt>
                <c:pt idx="209">
                  <c:v>15375.207483347855</c:v>
                </c:pt>
                <c:pt idx="210">
                  <c:v>15375.207483347855</c:v>
                </c:pt>
                <c:pt idx="211">
                  <c:v>15375.207483347855</c:v>
                </c:pt>
                <c:pt idx="212">
                  <c:v>15375.207483347855</c:v>
                </c:pt>
                <c:pt idx="213">
                  <c:v>15375.207483347855</c:v>
                </c:pt>
                <c:pt idx="214">
                  <c:v>15375.207483347855</c:v>
                </c:pt>
                <c:pt idx="215">
                  <c:v>15375.207483347855</c:v>
                </c:pt>
                <c:pt idx="216">
                  <c:v>15375.207483347855</c:v>
                </c:pt>
                <c:pt idx="217">
                  <c:v>15375.207483347855</c:v>
                </c:pt>
                <c:pt idx="218">
                  <c:v>15375.207483347855</c:v>
                </c:pt>
                <c:pt idx="219">
                  <c:v>15375.207483347855</c:v>
                </c:pt>
                <c:pt idx="220">
                  <c:v>15375.207483347855</c:v>
                </c:pt>
                <c:pt idx="221">
                  <c:v>15375.207483347855</c:v>
                </c:pt>
                <c:pt idx="222">
                  <c:v>15375.207483347855</c:v>
                </c:pt>
                <c:pt idx="223">
                  <c:v>15375.207483347855</c:v>
                </c:pt>
                <c:pt idx="224">
                  <c:v>15375.207483347855</c:v>
                </c:pt>
                <c:pt idx="225">
                  <c:v>15375.207483347855</c:v>
                </c:pt>
                <c:pt idx="226">
                  <c:v>15375.207483347855</c:v>
                </c:pt>
                <c:pt idx="227">
                  <c:v>15375.207483347855</c:v>
                </c:pt>
                <c:pt idx="228">
                  <c:v>15375.207483347855</c:v>
                </c:pt>
                <c:pt idx="229">
                  <c:v>15375.207483347855</c:v>
                </c:pt>
                <c:pt idx="230">
                  <c:v>15375.207483347855</c:v>
                </c:pt>
                <c:pt idx="231">
                  <c:v>15375.207483347855</c:v>
                </c:pt>
                <c:pt idx="232">
                  <c:v>15375.207483347855</c:v>
                </c:pt>
                <c:pt idx="233">
                  <c:v>15375.207483347855</c:v>
                </c:pt>
                <c:pt idx="234">
                  <c:v>15375.207483347855</c:v>
                </c:pt>
                <c:pt idx="235">
                  <c:v>15375.207483347855</c:v>
                </c:pt>
                <c:pt idx="236">
                  <c:v>15375.207483347855</c:v>
                </c:pt>
                <c:pt idx="237">
                  <c:v>15375.207483347855</c:v>
                </c:pt>
                <c:pt idx="238">
                  <c:v>7966.8409595611738</c:v>
                </c:pt>
                <c:pt idx="239">
                  <c:v>7966.8409595611738</c:v>
                </c:pt>
                <c:pt idx="240">
                  <c:v>7966.8409595611738</c:v>
                </c:pt>
                <c:pt idx="241">
                  <c:v>7966.8409595611738</c:v>
                </c:pt>
                <c:pt idx="242">
                  <c:v>7966.8409595611738</c:v>
                </c:pt>
                <c:pt idx="243">
                  <c:v>7966.8409595611738</c:v>
                </c:pt>
                <c:pt idx="244">
                  <c:v>7966.8409595611738</c:v>
                </c:pt>
                <c:pt idx="245">
                  <c:v>7966.8409595611738</c:v>
                </c:pt>
                <c:pt idx="246">
                  <c:v>7966.8409595611738</c:v>
                </c:pt>
                <c:pt idx="247">
                  <c:v>7966.8409595611738</c:v>
                </c:pt>
                <c:pt idx="248">
                  <c:v>7966.8409595611738</c:v>
                </c:pt>
                <c:pt idx="249">
                  <c:v>7966.8409595611738</c:v>
                </c:pt>
                <c:pt idx="250">
                  <c:v>7966.8409595611738</c:v>
                </c:pt>
                <c:pt idx="251">
                  <c:v>7966.8409595611738</c:v>
                </c:pt>
                <c:pt idx="252">
                  <c:v>7966.8409595611738</c:v>
                </c:pt>
                <c:pt idx="253">
                  <c:v>7966.8409595611738</c:v>
                </c:pt>
                <c:pt idx="254">
                  <c:v>7966.8409595611738</c:v>
                </c:pt>
                <c:pt idx="255">
                  <c:v>7966.8409595611738</c:v>
                </c:pt>
                <c:pt idx="256">
                  <c:v>7966.8409595611738</c:v>
                </c:pt>
                <c:pt idx="257">
                  <c:v>7966.8409595611738</c:v>
                </c:pt>
                <c:pt idx="258">
                  <c:v>7966.8409595611738</c:v>
                </c:pt>
                <c:pt idx="259">
                  <c:v>7966.8409595611738</c:v>
                </c:pt>
                <c:pt idx="260">
                  <c:v>7966.8409595611738</c:v>
                </c:pt>
                <c:pt idx="261">
                  <c:v>7966.8409595611738</c:v>
                </c:pt>
                <c:pt idx="262">
                  <c:v>7966.8409595611738</c:v>
                </c:pt>
                <c:pt idx="263">
                  <c:v>7966.8409595611738</c:v>
                </c:pt>
                <c:pt idx="264">
                  <c:v>7966.8409595611738</c:v>
                </c:pt>
                <c:pt idx="265">
                  <c:v>7966.8409595611738</c:v>
                </c:pt>
                <c:pt idx="266">
                  <c:v>7966.8409595611738</c:v>
                </c:pt>
                <c:pt idx="267">
                  <c:v>7966.8409595611738</c:v>
                </c:pt>
                <c:pt idx="268">
                  <c:v>7966.8409595611738</c:v>
                </c:pt>
                <c:pt idx="269">
                  <c:v>7966.8409595611738</c:v>
                </c:pt>
                <c:pt idx="270">
                  <c:v>7966.8409595611738</c:v>
                </c:pt>
                <c:pt idx="271">
                  <c:v>7966.8409595611738</c:v>
                </c:pt>
                <c:pt idx="272">
                  <c:v>7966.8409595611738</c:v>
                </c:pt>
                <c:pt idx="273">
                  <c:v>7966.8409595611738</c:v>
                </c:pt>
                <c:pt idx="274">
                  <c:v>7966.8409595611738</c:v>
                </c:pt>
                <c:pt idx="275">
                  <c:v>7966.8409595611738</c:v>
                </c:pt>
                <c:pt idx="276">
                  <c:v>7966.8409595611738</c:v>
                </c:pt>
                <c:pt idx="277">
                  <c:v>7966.8409595611738</c:v>
                </c:pt>
                <c:pt idx="278">
                  <c:v>7966.8409595611738</c:v>
                </c:pt>
                <c:pt idx="279">
                  <c:v>7966.8409595611738</c:v>
                </c:pt>
                <c:pt idx="280">
                  <c:v>7966.8409595611738</c:v>
                </c:pt>
                <c:pt idx="281">
                  <c:v>7966.8409595611738</c:v>
                </c:pt>
                <c:pt idx="282">
                  <c:v>7966.8409595611738</c:v>
                </c:pt>
                <c:pt idx="283">
                  <c:v>7966.8409595611738</c:v>
                </c:pt>
                <c:pt idx="284">
                  <c:v>7966.8409595611738</c:v>
                </c:pt>
                <c:pt idx="285">
                  <c:v>7966.8409595611738</c:v>
                </c:pt>
                <c:pt idx="286">
                  <c:v>7966.8409595611738</c:v>
                </c:pt>
                <c:pt idx="287">
                  <c:v>7966.8409595611738</c:v>
                </c:pt>
                <c:pt idx="288">
                  <c:v>7966.8409595611738</c:v>
                </c:pt>
                <c:pt idx="289">
                  <c:v>7966.8409595611738</c:v>
                </c:pt>
                <c:pt idx="290">
                  <c:v>7966.8409595611738</c:v>
                </c:pt>
                <c:pt idx="291">
                  <c:v>7966.8409595611738</c:v>
                </c:pt>
                <c:pt idx="292">
                  <c:v>7966.8409595611738</c:v>
                </c:pt>
                <c:pt idx="293">
                  <c:v>7966.8409595611738</c:v>
                </c:pt>
                <c:pt idx="294">
                  <c:v>7966.8409595611738</c:v>
                </c:pt>
                <c:pt idx="295">
                  <c:v>7966.8409595611738</c:v>
                </c:pt>
                <c:pt idx="296">
                  <c:v>7966.8409595611738</c:v>
                </c:pt>
                <c:pt idx="297">
                  <c:v>7966.8409595611738</c:v>
                </c:pt>
                <c:pt idx="298">
                  <c:v>7966.8409595608537</c:v>
                </c:pt>
                <c:pt idx="299">
                  <c:v>7966.8409595608537</c:v>
                </c:pt>
                <c:pt idx="300">
                  <c:v>7966.8409595608537</c:v>
                </c:pt>
                <c:pt idx="301">
                  <c:v>7966.8409595608537</c:v>
                </c:pt>
                <c:pt idx="302">
                  <c:v>7966.8409595608537</c:v>
                </c:pt>
                <c:pt idx="303">
                  <c:v>7966.8409595608537</c:v>
                </c:pt>
                <c:pt idx="304">
                  <c:v>7966.8409595608537</c:v>
                </c:pt>
                <c:pt idx="305">
                  <c:v>7966.8409595608537</c:v>
                </c:pt>
                <c:pt idx="306">
                  <c:v>7966.8409595608537</c:v>
                </c:pt>
                <c:pt idx="307">
                  <c:v>7966.8409595608537</c:v>
                </c:pt>
                <c:pt idx="308">
                  <c:v>7966.8409595608537</c:v>
                </c:pt>
                <c:pt idx="309">
                  <c:v>7966.8409595608537</c:v>
                </c:pt>
                <c:pt idx="310">
                  <c:v>7966.8409595608537</c:v>
                </c:pt>
                <c:pt idx="311">
                  <c:v>7966.8409595608537</c:v>
                </c:pt>
                <c:pt idx="312">
                  <c:v>7966.8409595608537</c:v>
                </c:pt>
                <c:pt idx="313">
                  <c:v>7966.8409595608537</c:v>
                </c:pt>
                <c:pt idx="314">
                  <c:v>7966.8409595608537</c:v>
                </c:pt>
                <c:pt idx="315">
                  <c:v>7966.8409595608537</c:v>
                </c:pt>
                <c:pt idx="316">
                  <c:v>7966.8409595608537</c:v>
                </c:pt>
                <c:pt idx="317">
                  <c:v>7966.8409595608537</c:v>
                </c:pt>
                <c:pt idx="318">
                  <c:v>7966.8409595608537</c:v>
                </c:pt>
                <c:pt idx="319">
                  <c:v>7966.8409595608537</c:v>
                </c:pt>
                <c:pt idx="320">
                  <c:v>7966.8409595608537</c:v>
                </c:pt>
                <c:pt idx="321">
                  <c:v>7966.8409595608537</c:v>
                </c:pt>
                <c:pt idx="322">
                  <c:v>7966.8409595608537</c:v>
                </c:pt>
                <c:pt idx="323">
                  <c:v>7966.8409595608537</c:v>
                </c:pt>
                <c:pt idx="324">
                  <c:v>7966.8409595608537</c:v>
                </c:pt>
                <c:pt idx="325">
                  <c:v>7966.8409595608537</c:v>
                </c:pt>
                <c:pt idx="326">
                  <c:v>7966.8409595608537</c:v>
                </c:pt>
                <c:pt idx="327">
                  <c:v>7966.8409595608537</c:v>
                </c:pt>
                <c:pt idx="328">
                  <c:v>7966.8409595608537</c:v>
                </c:pt>
                <c:pt idx="329">
                  <c:v>7966.8409595608537</c:v>
                </c:pt>
                <c:pt idx="330">
                  <c:v>7966.8409595608537</c:v>
                </c:pt>
                <c:pt idx="331">
                  <c:v>7966.8409595608537</c:v>
                </c:pt>
                <c:pt idx="332">
                  <c:v>7966.8409595608537</c:v>
                </c:pt>
                <c:pt idx="333">
                  <c:v>7966.8409595608537</c:v>
                </c:pt>
                <c:pt idx="334">
                  <c:v>7966.8409595608537</c:v>
                </c:pt>
                <c:pt idx="335">
                  <c:v>7966.8409595608537</c:v>
                </c:pt>
                <c:pt idx="336">
                  <c:v>7966.8409595608537</c:v>
                </c:pt>
                <c:pt idx="337">
                  <c:v>7966.8409595608537</c:v>
                </c:pt>
                <c:pt idx="338">
                  <c:v>7966.8409595608537</c:v>
                </c:pt>
                <c:pt idx="339">
                  <c:v>7966.8409595608537</c:v>
                </c:pt>
                <c:pt idx="340">
                  <c:v>7966.8409595608537</c:v>
                </c:pt>
                <c:pt idx="341">
                  <c:v>7966.8409595608537</c:v>
                </c:pt>
                <c:pt idx="342">
                  <c:v>7966.8409595608537</c:v>
                </c:pt>
                <c:pt idx="343">
                  <c:v>7966.8409595608537</c:v>
                </c:pt>
                <c:pt idx="344">
                  <c:v>7966.8409595608537</c:v>
                </c:pt>
                <c:pt idx="345">
                  <c:v>7966.8409595608537</c:v>
                </c:pt>
                <c:pt idx="346">
                  <c:v>7966.8409595608537</c:v>
                </c:pt>
                <c:pt idx="347">
                  <c:v>7966.8409595608537</c:v>
                </c:pt>
                <c:pt idx="348">
                  <c:v>7966.8409595608537</c:v>
                </c:pt>
                <c:pt idx="349">
                  <c:v>7966.8409595608537</c:v>
                </c:pt>
                <c:pt idx="350">
                  <c:v>7966.8409595608537</c:v>
                </c:pt>
                <c:pt idx="351">
                  <c:v>7966.8409595608537</c:v>
                </c:pt>
                <c:pt idx="352">
                  <c:v>7966.8409595608537</c:v>
                </c:pt>
                <c:pt idx="353">
                  <c:v>7966.8409595608537</c:v>
                </c:pt>
                <c:pt idx="354">
                  <c:v>7966.8409595608537</c:v>
                </c:pt>
                <c:pt idx="355">
                  <c:v>7966.8409595608537</c:v>
                </c:pt>
                <c:pt idx="356">
                  <c:v>7966.8409595608537</c:v>
                </c:pt>
                <c:pt idx="357">
                  <c:v>7966.8409595608537</c:v>
                </c:pt>
                <c:pt idx="358">
                  <c:v>7966.8409595592238</c:v>
                </c:pt>
                <c:pt idx="359">
                  <c:v>7966.8409595592238</c:v>
                </c:pt>
                <c:pt idx="360">
                  <c:v>7966.8409595592238</c:v>
                </c:pt>
                <c:pt idx="361">
                  <c:v>7966.8409595592238</c:v>
                </c:pt>
                <c:pt idx="362">
                  <c:v>7966.8409595592238</c:v>
                </c:pt>
                <c:pt idx="363">
                  <c:v>7966.8409595592238</c:v>
                </c:pt>
                <c:pt idx="364">
                  <c:v>7966.8409595592238</c:v>
                </c:pt>
                <c:pt idx="365">
                  <c:v>7966.8409595592238</c:v>
                </c:pt>
                <c:pt idx="366">
                  <c:v>7966.8409595592238</c:v>
                </c:pt>
                <c:pt idx="367">
                  <c:v>7966.8409595592238</c:v>
                </c:pt>
                <c:pt idx="368">
                  <c:v>7966.8409595592238</c:v>
                </c:pt>
                <c:pt idx="369">
                  <c:v>7966.8409595592238</c:v>
                </c:pt>
                <c:pt idx="370">
                  <c:v>7966.8409595592238</c:v>
                </c:pt>
                <c:pt idx="371">
                  <c:v>7966.8409595592238</c:v>
                </c:pt>
                <c:pt idx="372">
                  <c:v>7966.8409595592238</c:v>
                </c:pt>
                <c:pt idx="373">
                  <c:v>7966.8409595592238</c:v>
                </c:pt>
                <c:pt idx="374">
                  <c:v>7966.8409595592238</c:v>
                </c:pt>
                <c:pt idx="375">
                  <c:v>7966.8409595592238</c:v>
                </c:pt>
                <c:pt idx="376">
                  <c:v>7966.8409595592238</c:v>
                </c:pt>
                <c:pt idx="377">
                  <c:v>7966.8409595467092</c:v>
                </c:pt>
                <c:pt idx="378">
                  <c:v>150233.43899516284</c:v>
                </c:pt>
                <c:pt idx="379">
                  <c:v>150233.43899516284</c:v>
                </c:pt>
                <c:pt idx="380">
                  <c:v>150233.43899516284</c:v>
                </c:pt>
                <c:pt idx="381">
                  <c:v>150233.43899516284</c:v>
                </c:pt>
                <c:pt idx="382">
                  <c:v>150233.43899516284</c:v>
                </c:pt>
                <c:pt idx="383">
                  <c:v>150233.43899516284</c:v>
                </c:pt>
                <c:pt idx="384">
                  <c:v>150233.43899516284</c:v>
                </c:pt>
                <c:pt idx="385">
                  <c:v>150233.43899516284</c:v>
                </c:pt>
                <c:pt idx="386">
                  <c:v>150233.43899516284</c:v>
                </c:pt>
                <c:pt idx="387">
                  <c:v>150233.43899516284</c:v>
                </c:pt>
                <c:pt idx="388">
                  <c:v>150233.43899516284</c:v>
                </c:pt>
                <c:pt idx="389">
                  <c:v>150233.43899516284</c:v>
                </c:pt>
                <c:pt idx="390">
                  <c:v>150233.43899516284</c:v>
                </c:pt>
                <c:pt idx="391">
                  <c:v>150233.43899516284</c:v>
                </c:pt>
                <c:pt idx="392">
                  <c:v>150233.43899516284</c:v>
                </c:pt>
                <c:pt idx="393">
                  <c:v>150233.43899516284</c:v>
                </c:pt>
                <c:pt idx="394">
                  <c:v>150233.43899516284</c:v>
                </c:pt>
                <c:pt idx="395">
                  <c:v>150233.43899516284</c:v>
                </c:pt>
                <c:pt idx="396">
                  <c:v>150233.43899516284</c:v>
                </c:pt>
                <c:pt idx="397">
                  <c:v>150233.43899516284</c:v>
                </c:pt>
                <c:pt idx="398">
                  <c:v>150233.43899516284</c:v>
                </c:pt>
                <c:pt idx="399">
                  <c:v>150233.43899516284</c:v>
                </c:pt>
                <c:pt idx="400">
                  <c:v>150233.43899516284</c:v>
                </c:pt>
                <c:pt idx="401">
                  <c:v>150233.43899516284</c:v>
                </c:pt>
                <c:pt idx="402">
                  <c:v>150233.43899516284</c:v>
                </c:pt>
                <c:pt idx="403">
                  <c:v>150233.43899516284</c:v>
                </c:pt>
                <c:pt idx="404">
                  <c:v>150233.43899516284</c:v>
                </c:pt>
                <c:pt idx="405">
                  <c:v>150233.43899516284</c:v>
                </c:pt>
                <c:pt idx="406">
                  <c:v>150233.43899516284</c:v>
                </c:pt>
                <c:pt idx="407">
                  <c:v>150233.43899516284</c:v>
                </c:pt>
                <c:pt idx="408">
                  <c:v>150233.43899516284</c:v>
                </c:pt>
                <c:pt idx="409">
                  <c:v>150233.43899516284</c:v>
                </c:pt>
                <c:pt idx="410">
                  <c:v>150233.43899516284</c:v>
                </c:pt>
                <c:pt idx="411">
                  <c:v>150233.43899516284</c:v>
                </c:pt>
                <c:pt idx="412">
                  <c:v>150233.43899516284</c:v>
                </c:pt>
                <c:pt idx="413">
                  <c:v>150233.43899516284</c:v>
                </c:pt>
                <c:pt idx="414">
                  <c:v>150233.43899516284</c:v>
                </c:pt>
                <c:pt idx="415">
                  <c:v>150233.43899516284</c:v>
                </c:pt>
                <c:pt idx="416">
                  <c:v>150233.43899516284</c:v>
                </c:pt>
                <c:pt idx="417">
                  <c:v>150233.43899516284</c:v>
                </c:pt>
                <c:pt idx="418">
                  <c:v>150233.43899516284</c:v>
                </c:pt>
                <c:pt idx="419">
                  <c:v>150233.43899516284</c:v>
                </c:pt>
                <c:pt idx="420">
                  <c:v>150233.43899516284</c:v>
                </c:pt>
                <c:pt idx="421">
                  <c:v>150233.43899516284</c:v>
                </c:pt>
                <c:pt idx="422">
                  <c:v>150233.43899516284</c:v>
                </c:pt>
                <c:pt idx="423">
                  <c:v>150233.43899516284</c:v>
                </c:pt>
                <c:pt idx="424">
                  <c:v>150233.43899516284</c:v>
                </c:pt>
                <c:pt idx="425">
                  <c:v>150233.43899516284</c:v>
                </c:pt>
                <c:pt idx="426">
                  <c:v>150233.43899516284</c:v>
                </c:pt>
                <c:pt idx="427">
                  <c:v>150233.43899516284</c:v>
                </c:pt>
                <c:pt idx="428">
                  <c:v>150233.43899516284</c:v>
                </c:pt>
                <c:pt idx="429">
                  <c:v>150233.43899516284</c:v>
                </c:pt>
                <c:pt idx="430">
                  <c:v>150233.43899516284</c:v>
                </c:pt>
                <c:pt idx="431">
                  <c:v>150233.43899516284</c:v>
                </c:pt>
                <c:pt idx="432">
                  <c:v>150233.43899516284</c:v>
                </c:pt>
                <c:pt idx="433">
                  <c:v>150233.43899516284</c:v>
                </c:pt>
                <c:pt idx="434">
                  <c:v>150233.43899516284</c:v>
                </c:pt>
                <c:pt idx="435">
                  <c:v>150233.43899516284</c:v>
                </c:pt>
                <c:pt idx="436">
                  <c:v>150233.43899516284</c:v>
                </c:pt>
                <c:pt idx="437">
                  <c:v>150233.43899516284</c:v>
                </c:pt>
                <c:pt idx="438">
                  <c:v>150233.43899516284</c:v>
                </c:pt>
                <c:pt idx="439">
                  <c:v>150233.43899516284</c:v>
                </c:pt>
                <c:pt idx="440">
                  <c:v>150233.43899516284</c:v>
                </c:pt>
                <c:pt idx="441">
                  <c:v>150233.43899516284</c:v>
                </c:pt>
                <c:pt idx="442">
                  <c:v>150233.43899516284</c:v>
                </c:pt>
                <c:pt idx="443">
                  <c:v>150233.43899516284</c:v>
                </c:pt>
                <c:pt idx="444">
                  <c:v>150233.43899516284</c:v>
                </c:pt>
                <c:pt idx="445">
                  <c:v>150233.43899516284</c:v>
                </c:pt>
                <c:pt idx="446">
                  <c:v>150233.43899516284</c:v>
                </c:pt>
                <c:pt idx="447">
                  <c:v>150233.43899516284</c:v>
                </c:pt>
                <c:pt idx="448">
                  <c:v>150233.43899516284</c:v>
                </c:pt>
                <c:pt idx="449">
                  <c:v>150233.43899516284</c:v>
                </c:pt>
                <c:pt idx="450">
                  <c:v>150233.43899516284</c:v>
                </c:pt>
                <c:pt idx="451">
                  <c:v>150233.43899516284</c:v>
                </c:pt>
                <c:pt idx="452">
                  <c:v>150233.43899516284</c:v>
                </c:pt>
                <c:pt idx="453">
                  <c:v>150233.43899516284</c:v>
                </c:pt>
                <c:pt idx="454">
                  <c:v>150233.43899516284</c:v>
                </c:pt>
                <c:pt idx="455">
                  <c:v>150233.43899516284</c:v>
                </c:pt>
                <c:pt idx="456">
                  <c:v>150233.43899516284</c:v>
                </c:pt>
                <c:pt idx="457">
                  <c:v>150233.43899516284</c:v>
                </c:pt>
                <c:pt idx="458">
                  <c:v>150233.43899516284</c:v>
                </c:pt>
                <c:pt idx="459">
                  <c:v>150233.43899516284</c:v>
                </c:pt>
                <c:pt idx="460">
                  <c:v>150233.43899516284</c:v>
                </c:pt>
                <c:pt idx="461">
                  <c:v>150233.43899516284</c:v>
                </c:pt>
                <c:pt idx="462">
                  <c:v>150233.43899516284</c:v>
                </c:pt>
                <c:pt idx="463">
                  <c:v>150233.43899516284</c:v>
                </c:pt>
                <c:pt idx="464">
                  <c:v>150233.43899516284</c:v>
                </c:pt>
                <c:pt idx="465">
                  <c:v>150233.43899516284</c:v>
                </c:pt>
                <c:pt idx="466">
                  <c:v>150233.43899516284</c:v>
                </c:pt>
                <c:pt idx="467">
                  <c:v>150233.43899516284</c:v>
                </c:pt>
                <c:pt idx="468">
                  <c:v>150233.43899516284</c:v>
                </c:pt>
                <c:pt idx="469">
                  <c:v>150233.43899516284</c:v>
                </c:pt>
                <c:pt idx="470">
                  <c:v>150233.43899516284</c:v>
                </c:pt>
                <c:pt idx="471">
                  <c:v>150233.43899516284</c:v>
                </c:pt>
                <c:pt idx="472">
                  <c:v>150233.43899516284</c:v>
                </c:pt>
                <c:pt idx="473">
                  <c:v>150233.43899516284</c:v>
                </c:pt>
                <c:pt idx="474">
                  <c:v>150233.43899516284</c:v>
                </c:pt>
                <c:pt idx="475">
                  <c:v>150233.43899516284</c:v>
                </c:pt>
                <c:pt idx="476">
                  <c:v>150233.43899516284</c:v>
                </c:pt>
                <c:pt idx="477">
                  <c:v>150233.43899516284</c:v>
                </c:pt>
                <c:pt idx="478">
                  <c:v>150233.43899516284</c:v>
                </c:pt>
                <c:pt idx="479">
                  <c:v>150233.43899516284</c:v>
                </c:pt>
                <c:pt idx="480">
                  <c:v>150233.43899516284</c:v>
                </c:pt>
                <c:pt idx="481">
                  <c:v>150233.43899516284</c:v>
                </c:pt>
                <c:pt idx="482">
                  <c:v>150233.43899516284</c:v>
                </c:pt>
                <c:pt idx="483">
                  <c:v>150233.43899516284</c:v>
                </c:pt>
                <c:pt idx="484">
                  <c:v>150233.43899516284</c:v>
                </c:pt>
                <c:pt idx="485">
                  <c:v>150233.43899516284</c:v>
                </c:pt>
                <c:pt idx="486">
                  <c:v>150233.43899516284</c:v>
                </c:pt>
                <c:pt idx="487">
                  <c:v>150233.43899516284</c:v>
                </c:pt>
                <c:pt idx="488">
                  <c:v>150233.43899516284</c:v>
                </c:pt>
                <c:pt idx="489">
                  <c:v>150233.43899516284</c:v>
                </c:pt>
                <c:pt idx="490">
                  <c:v>150233.43899516284</c:v>
                </c:pt>
                <c:pt idx="491">
                  <c:v>150233.43899516284</c:v>
                </c:pt>
                <c:pt idx="492">
                  <c:v>150233.43899516284</c:v>
                </c:pt>
                <c:pt idx="493">
                  <c:v>150233.43899516284</c:v>
                </c:pt>
                <c:pt idx="494">
                  <c:v>150233.43899516284</c:v>
                </c:pt>
                <c:pt idx="495">
                  <c:v>150233.43899516284</c:v>
                </c:pt>
                <c:pt idx="496">
                  <c:v>150233.43899516284</c:v>
                </c:pt>
                <c:pt idx="497">
                  <c:v>150233.43899516284</c:v>
                </c:pt>
                <c:pt idx="498">
                  <c:v>150233.43899516284</c:v>
                </c:pt>
                <c:pt idx="499">
                  <c:v>150233.43899516284</c:v>
                </c:pt>
                <c:pt idx="500">
                  <c:v>150233.43899516284</c:v>
                </c:pt>
                <c:pt idx="501">
                  <c:v>150233.43899516284</c:v>
                </c:pt>
                <c:pt idx="502">
                  <c:v>150233.43899516284</c:v>
                </c:pt>
                <c:pt idx="503">
                  <c:v>150233.43899516284</c:v>
                </c:pt>
                <c:pt idx="504">
                  <c:v>150233.43899516284</c:v>
                </c:pt>
                <c:pt idx="505">
                  <c:v>150233.43899516284</c:v>
                </c:pt>
                <c:pt idx="506">
                  <c:v>150233.43899516284</c:v>
                </c:pt>
                <c:pt idx="507">
                  <c:v>150233.43899516284</c:v>
                </c:pt>
                <c:pt idx="508">
                  <c:v>150233.43899516284</c:v>
                </c:pt>
                <c:pt idx="509">
                  <c:v>150233.43899516284</c:v>
                </c:pt>
                <c:pt idx="510">
                  <c:v>150233.43899516284</c:v>
                </c:pt>
                <c:pt idx="511">
                  <c:v>150233.43899516284</c:v>
                </c:pt>
                <c:pt idx="512">
                  <c:v>150233.43899516284</c:v>
                </c:pt>
                <c:pt idx="513">
                  <c:v>150233.43899516284</c:v>
                </c:pt>
                <c:pt idx="514">
                  <c:v>150233.43899516284</c:v>
                </c:pt>
                <c:pt idx="515">
                  <c:v>150233.43899516284</c:v>
                </c:pt>
                <c:pt idx="516">
                  <c:v>150233.43899516284</c:v>
                </c:pt>
                <c:pt idx="517">
                  <c:v>150233.43899516284</c:v>
                </c:pt>
                <c:pt idx="518">
                  <c:v>150233.43899516284</c:v>
                </c:pt>
                <c:pt idx="519">
                  <c:v>150233.43899516284</c:v>
                </c:pt>
                <c:pt idx="520">
                  <c:v>150233.43899516284</c:v>
                </c:pt>
                <c:pt idx="521">
                  <c:v>150233.43899516284</c:v>
                </c:pt>
                <c:pt idx="522">
                  <c:v>150233.43899516284</c:v>
                </c:pt>
                <c:pt idx="523">
                  <c:v>150233.43899516284</c:v>
                </c:pt>
                <c:pt idx="524">
                  <c:v>150233.43899516284</c:v>
                </c:pt>
                <c:pt idx="525">
                  <c:v>150233.43899516284</c:v>
                </c:pt>
                <c:pt idx="526">
                  <c:v>150233.43899516284</c:v>
                </c:pt>
                <c:pt idx="527">
                  <c:v>150233.43899516284</c:v>
                </c:pt>
                <c:pt idx="528">
                  <c:v>150233.43899516284</c:v>
                </c:pt>
                <c:pt idx="529">
                  <c:v>150233.43899516284</c:v>
                </c:pt>
                <c:pt idx="530">
                  <c:v>150233.43899516284</c:v>
                </c:pt>
                <c:pt idx="531">
                  <c:v>150233.43899516284</c:v>
                </c:pt>
                <c:pt idx="532">
                  <c:v>150233.43899516284</c:v>
                </c:pt>
                <c:pt idx="533">
                  <c:v>150233.43899516284</c:v>
                </c:pt>
                <c:pt idx="534">
                  <c:v>150233.43899516284</c:v>
                </c:pt>
                <c:pt idx="535">
                  <c:v>150233.43899516284</c:v>
                </c:pt>
                <c:pt idx="536">
                  <c:v>150233.43899516284</c:v>
                </c:pt>
                <c:pt idx="537">
                  <c:v>150233.43899516284</c:v>
                </c:pt>
                <c:pt idx="538">
                  <c:v>150233.43899516284</c:v>
                </c:pt>
                <c:pt idx="539">
                  <c:v>150233.43899516284</c:v>
                </c:pt>
                <c:pt idx="540">
                  <c:v>150233.43899516284</c:v>
                </c:pt>
                <c:pt idx="541">
                  <c:v>150233.43899516284</c:v>
                </c:pt>
                <c:pt idx="542">
                  <c:v>150233.43899516284</c:v>
                </c:pt>
                <c:pt idx="543">
                  <c:v>150233.43899516284</c:v>
                </c:pt>
                <c:pt idx="544">
                  <c:v>150233.43899516284</c:v>
                </c:pt>
                <c:pt idx="545">
                  <c:v>150233.43899516284</c:v>
                </c:pt>
                <c:pt idx="546">
                  <c:v>150233.43899516284</c:v>
                </c:pt>
                <c:pt idx="547">
                  <c:v>150233.43899516284</c:v>
                </c:pt>
                <c:pt idx="548">
                  <c:v>150233.43899516284</c:v>
                </c:pt>
                <c:pt idx="549">
                  <c:v>150233.43899516284</c:v>
                </c:pt>
                <c:pt idx="550">
                  <c:v>150233.43899516284</c:v>
                </c:pt>
                <c:pt idx="551">
                  <c:v>150233.43899516284</c:v>
                </c:pt>
                <c:pt idx="552">
                  <c:v>150233.43899516284</c:v>
                </c:pt>
                <c:pt idx="553">
                  <c:v>150233.43899516284</c:v>
                </c:pt>
                <c:pt idx="554">
                  <c:v>150233.43899516284</c:v>
                </c:pt>
                <c:pt idx="555">
                  <c:v>150233.43899516284</c:v>
                </c:pt>
                <c:pt idx="556">
                  <c:v>150233.43899516284</c:v>
                </c:pt>
                <c:pt idx="557">
                  <c:v>150233.43899516284</c:v>
                </c:pt>
                <c:pt idx="558">
                  <c:v>150233.43899516284</c:v>
                </c:pt>
                <c:pt idx="559">
                  <c:v>150233.43899516284</c:v>
                </c:pt>
                <c:pt idx="560">
                  <c:v>150233.43899516284</c:v>
                </c:pt>
                <c:pt idx="561">
                  <c:v>150233.43899516284</c:v>
                </c:pt>
                <c:pt idx="562">
                  <c:v>150233.43899516284</c:v>
                </c:pt>
                <c:pt idx="563">
                  <c:v>150233.43899516284</c:v>
                </c:pt>
                <c:pt idx="564">
                  <c:v>150233.43899516284</c:v>
                </c:pt>
                <c:pt idx="565">
                  <c:v>150233.43899516284</c:v>
                </c:pt>
                <c:pt idx="566">
                  <c:v>150233.43899516284</c:v>
                </c:pt>
                <c:pt idx="567">
                  <c:v>150233.43899516284</c:v>
                </c:pt>
                <c:pt idx="568">
                  <c:v>150233.43899516284</c:v>
                </c:pt>
                <c:pt idx="569">
                  <c:v>150233.43899516284</c:v>
                </c:pt>
                <c:pt idx="570">
                  <c:v>150233.43899516284</c:v>
                </c:pt>
                <c:pt idx="571">
                  <c:v>150233.43899516284</c:v>
                </c:pt>
                <c:pt idx="572">
                  <c:v>150233.43899516284</c:v>
                </c:pt>
                <c:pt idx="573">
                  <c:v>150233.43899516284</c:v>
                </c:pt>
                <c:pt idx="574">
                  <c:v>150233.43899516284</c:v>
                </c:pt>
                <c:pt idx="575">
                  <c:v>150233.43899516284</c:v>
                </c:pt>
                <c:pt idx="576">
                  <c:v>150233.43899516284</c:v>
                </c:pt>
                <c:pt idx="577">
                  <c:v>150233.43899516284</c:v>
                </c:pt>
                <c:pt idx="578">
                  <c:v>150233.43899516284</c:v>
                </c:pt>
                <c:pt idx="579">
                  <c:v>150233.43899516284</c:v>
                </c:pt>
                <c:pt idx="580">
                  <c:v>150233.43899516284</c:v>
                </c:pt>
                <c:pt idx="581">
                  <c:v>150233.43899516284</c:v>
                </c:pt>
                <c:pt idx="582">
                  <c:v>150233.43899516284</c:v>
                </c:pt>
                <c:pt idx="583">
                  <c:v>150233.43899516284</c:v>
                </c:pt>
                <c:pt idx="584">
                  <c:v>150233.43899516284</c:v>
                </c:pt>
                <c:pt idx="585">
                  <c:v>150233.43899516284</c:v>
                </c:pt>
                <c:pt idx="586">
                  <c:v>150233.43899516284</c:v>
                </c:pt>
                <c:pt idx="587">
                  <c:v>150233.43899516284</c:v>
                </c:pt>
                <c:pt idx="588">
                  <c:v>150233.43899516284</c:v>
                </c:pt>
                <c:pt idx="589">
                  <c:v>150233.43899516284</c:v>
                </c:pt>
                <c:pt idx="590">
                  <c:v>150233.43899516284</c:v>
                </c:pt>
                <c:pt idx="591">
                  <c:v>150233.43899516284</c:v>
                </c:pt>
                <c:pt idx="592">
                  <c:v>150233.43899516284</c:v>
                </c:pt>
                <c:pt idx="593">
                  <c:v>150233.43899516284</c:v>
                </c:pt>
                <c:pt idx="594">
                  <c:v>150233.43899516284</c:v>
                </c:pt>
                <c:pt idx="595">
                  <c:v>150233.43899516284</c:v>
                </c:pt>
                <c:pt idx="596">
                  <c:v>150233.43899516284</c:v>
                </c:pt>
                <c:pt idx="597">
                  <c:v>150233.43899516284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87-46AE-A362-C447AE1C6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lang="ja-JP" sz="14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経過年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tickLblSkip val="60"/>
        <c:noMultiLvlLbl val="1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w="4763">
              <a:solidFill>
                <a:srgbClr val="DFE5E8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r>
                  <a:rPr lang="ja-JP" sz="14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円／月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legendEntry>
        <c:idx val="2"/>
        <c:delete val="1"/>
      </c:legendEntry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76</xdr:row>
      <xdr:rowOff>0</xdr:rowOff>
    </xdr:from>
    <xdr:to>
      <xdr:col>8</xdr:col>
      <xdr:colOff>0</xdr:colOff>
      <xdr:row>100</xdr:row>
      <xdr:rowOff>108000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8</xdr:col>
      <xdr:colOff>0</xdr:colOff>
      <xdr:row>37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39</xdr:row>
      <xdr:rowOff>22860</xdr:rowOff>
    </xdr:from>
    <xdr:to>
      <xdr:col>8</xdr:col>
      <xdr:colOff>0</xdr:colOff>
      <xdr:row>54</xdr:row>
      <xdr:rowOff>130860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55</xdr:row>
      <xdr:rowOff>167640</xdr:rowOff>
    </xdr:from>
    <xdr:to>
      <xdr:col>8</xdr:col>
      <xdr:colOff>0</xdr:colOff>
      <xdr:row>73</xdr:row>
      <xdr:rowOff>496620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135890</xdr:colOff>
      <xdr:row>5</xdr:row>
      <xdr:rowOff>140970</xdr:rowOff>
    </xdr:from>
    <xdr:to>
      <xdr:col>7</xdr:col>
      <xdr:colOff>1094228</xdr:colOff>
      <xdr:row>8</xdr:row>
      <xdr:rowOff>243840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69D068A-DC4C-4C31-A7B6-63EFBC722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5090" y="1840230"/>
          <a:ext cx="3244338" cy="1017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167640</xdr:colOff>
      <xdr:row>9</xdr:row>
      <xdr:rowOff>53341</xdr:rowOff>
    </xdr:from>
    <xdr:to>
      <xdr:col>3</xdr:col>
      <xdr:colOff>944880</xdr:colOff>
      <xdr:row>11</xdr:row>
      <xdr:rowOff>53459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EEEBFAE-3240-4850-9FFD-896E4D757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040" y="2895601"/>
          <a:ext cx="1920240" cy="6097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1104900</xdr:colOff>
      <xdr:row>1</xdr:row>
      <xdr:rowOff>98604</xdr:rowOff>
    </xdr:from>
    <xdr:to>
      <xdr:col>4</xdr:col>
      <xdr:colOff>228600</xdr:colOff>
      <xdr:row>3</xdr:row>
      <xdr:rowOff>292475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461CD79-87BC-4031-AD11-9AC140BAA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403404"/>
          <a:ext cx="1714500" cy="5443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5654040</xdr:colOff>
      <xdr:row>2</xdr:row>
      <xdr:rowOff>53340</xdr:rowOff>
    </xdr:from>
    <xdr:to>
      <xdr:col>1</xdr:col>
      <xdr:colOff>7368540</xdr:colOff>
      <xdr:row>4</xdr:row>
      <xdr:rowOff>110051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DC3232-AE52-4880-ACC1-600E606EB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2980" y="617220"/>
          <a:ext cx="1714500" cy="544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D52"/>
    <pageSetUpPr fitToPage="1"/>
  </sheetPr>
  <dimension ref="A1:Z603"/>
  <sheetViews>
    <sheetView showGridLines="0" workbookViewId="0">
      <selection activeCell="G17" sqref="G17"/>
    </sheetView>
  </sheetViews>
  <sheetFormatPr defaultRowHeight="15"/>
  <cols>
    <col min="1" max="1" width="32" style="4" customWidth="1"/>
    <col min="2" max="4" width="23" style="4" customWidth="1"/>
    <col min="5" max="8" width="15" style="4" customWidth="1"/>
    <col min="9" max="13" width="15" style="40" customWidth="1"/>
    <col min="14" max="14" width="8.796875" style="40"/>
    <col min="15" max="21" width="22" style="40" customWidth="1"/>
    <col min="22" max="24" width="23" style="40" customWidth="1"/>
    <col min="25" max="26" width="8.796875" style="40"/>
    <col min="27" max="16384" width="8.796875" style="4"/>
  </cols>
  <sheetData>
    <row r="1" spans="1:24" ht="24" customHeight="1">
      <c r="A1" s="1" t="s">
        <v>0</v>
      </c>
      <c r="B1" s="2"/>
      <c r="C1" s="2"/>
      <c r="D1" s="2"/>
      <c r="E1" s="2"/>
      <c r="F1" s="2"/>
      <c r="G1" s="2"/>
      <c r="H1" s="2"/>
      <c r="I1" s="37"/>
      <c r="J1" s="37"/>
      <c r="K1" s="37"/>
      <c r="L1" s="37"/>
      <c r="M1" s="37"/>
    </row>
    <row r="2" spans="1:24" ht="24" customHeight="1">
      <c r="A2" s="83" t="s">
        <v>130</v>
      </c>
      <c r="B2" s="2"/>
      <c r="C2" s="2"/>
      <c r="D2" s="2"/>
      <c r="E2" s="2"/>
      <c r="F2" s="2"/>
      <c r="G2" s="2"/>
      <c r="H2" s="2"/>
      <c r="I2" s="37"/>
      <c r="J2" s="37"/>
      <c r="K2" s="37"/>
      <c r="L2" s="37"/>
      <c r="M2" s="37"/>
    </row>
    <row r="3" spans="1:24" ht="31.95" customHeight="1">
      <c r="A3" s="28" t="s">
        <v>122</v>
      </c>
      <c r="B3" s="28"/>
      <c r="C3" s="28"/>
      <c r="D3" s="28"/>
      <c r="E3" s="20"/>
      <c r="F3" s="20"/>
      <c r="G3" s="20"/>
      <c r="H3" s="20"/>
      <c r="I3" s="41"/>
      <c r="J3" s="37"/>
      <c r="K3" s="37"/>
      <c r="L3" s="37"/>
      <c r="M3" s="37"/>
    </row>
    <row r="4" spans="1:24" ht="24" customHeight="1">
      <c r="A4" s="3"/>
      <c r="B4" s="3"/>
      <c r="C4" s="3"/>
      <c r="D4" s="3"/>
      <c r="E4" s="21"/>
      <c r="F4" s="29" t="s">
        <v>126</v>
      </c>
      <c r="G4" s="30" t="s">
        <v>127</v>
      </c>
      <c r="H4" s="31" t="s">
        <v>128</v>
      </c>
      <c r="I4" s="38" t="b">
        <f ca="1">IF(TODAY()&lt;=G5,TRUE,FALSE)</f>
        <v>1</v>
      </c>
      <c r="J4" s="37"/>
      <c r="K4" s="37"/>
      <c r="L4" s="37"/>
      <c r="M4" s="37"/>
    </row>
    <row r="5" spans="1:24" ht="30" customHeight="1">
      <c r="A5" s="5" t="s">
        <v>1</v>
      </c>
      <c r="B5" s="6" t="s">
        <v>2</v>
      </c>
      <c r="C5" s="6" t="s">
        <v>3</v>
      </c>
      <c r="D5" s="7" t="s">
        <v>4</v>
      </c>
      <c r="E5" s="21"/>
      <c r="F5" s="32">
        <v>46266</v>
      </c>
      <c r="G5" s="33">
        <f>EDATE(F5,4)</f>
        <v>46388</v>
      </c>
      <c r="H5" s="34" t="str">
        <f ca="1">IF(I4, "使用期間中", "使用期限終了")</f>
        <v>使用期間中</v>
      </c>
      <c r="I5" s="22"/>
      <c r="J5" s="37"/>
      <c r="K5" s="37" t="s">
        <v>5</v>
      </c>
      <c r="L5" s="37" t="s">
        <v>6</v>
      </c>
      <c r="M5" s="37" t="s">
        <v>7</v>
      </c>
      <c r="O5" s="42" t="s">
        <v>5</v>
      </c>
      <c r="P5" s="42" t="s">
        <v>8</v>
      </c>
      <c r="Q5" s="42" t="s">
        <v>9</v>
      </c>
      <c r="R5" s="42" t="s">
        <v>10</v>
      </c>
      <c r="S5" s="42" t="s">
        <v>11</v>
      </c>
      <c r="T5" s="42" t="s">
        <v>12</v>
      </c>
      <c r="U5" s="42" t="s">
        <v>13</v>
      </c>
      <c r="V5" s="40" t="s">
        <v>14</v>
      </c>
      <c r="W5" s="40" t="s">
        <v>15</v>
      </c>
      <c r="X5" s="40" t="s">
        <v>16</v>
      </c>
    </row>
    <row r="6" spans="1:24" ht="24" customHeight="1">
      <c r="A6" s="8" t="s">
        <v>17</v>
      </c>
      <c r="B6" s="9">
        <f ca="1">SUM(月次返済表!S6:S605)</f>
        <v>21526349.925075892</v>
      </c>
      <c r="C6" s="9">
        <f ca="1">SUM(月次返済表!H6:H605)</f>
        <v>16693205.772633312</v>
      </c>
      <c r="D6" s="10">
        <f ca="1">B6-C6</f>
        <v>4833144.1524425801</v>
      </c>
      <c r="E6" s="21"/>
      <c r="F6" s="35" t="s">
        <v>129</v>
      </c>
      <c r="G6" s="23"/>
      <c r="H6" s="23"/>
      <c r="I6" s="22"/>
      <c r="J6" s="37"/>
      <c r="K6" s="37">
        <v>0</v>
      </c>
      <c r="L6" s="37">
        <f>入力設定!B5/10000</f>
        <v>3500</v>
      </c>
      <c r="M6" s="37">
        <f>入力設定!B5/10000</f>
        <v>3500</v>
      </c>
      <c r="O6" s="43" t="str">
        <f ca="1">TEXT((月次返済表!A6-1)/12,"0.0")</f>
        <v>0.0</v>
      </c>
      <c r="P6" s="44">
        <f ca="1">月次返済表!S6</f>
        <v>32375</v>
      </c>
      <c r="Q6" s="44">
        <f ca="1">月次返済表!T6</f>
        <v>68229.401654639601</v>
      </c>
      <c r="R6" s="44">
        <f ca="1">月次返済表!H6</f>
        <v>32375</v>
      </c>
      <c r="S6" s="44">
        <f ca="1">月次返済表!I6</f>
        <v>68229.401654639601</v>
      </c>
      <c r="T6" s="44">
        <f ca="1">月次返済表!R6</f>
        <v>100604.4016546396</v>
      </c>
      <c r="U6" s="44">
        <f ca="1">月次返済表!G6</f>
        <v>100604.4016546396</v>
      </c>
      <c r="V6" s="44">
        <f ca="1">MAX(T6:U603)</f>
        <v>150233.43899516284</v>
      </c>
      <c r="W6" s="44">
        <f ca="1">$V$6-T6</f>
        <v>49629.037340523239</v>
      </c>
      <c r="X6" s="44">
        <f ca="1">$V$6-U6</f>
        <v>49629.037340523239</v>
      </c>
    </row>
    <row r="7" spans="1:24" ht="24" customHeight="1">
      <c r="A7" s="8" t="s">
        <v>18</v>
      </c>
      <c r="B7" s="9">
        <f ca="1">SUM(月次返済表!R6:R605)</f>
        <v>56526349.925075777</v>
      </c>
      <c r="C7" s="9">
        <f ca="1">SUM(月次返済表!O6:O605)</f>
        <v>51693205.772633553</v>
      </c>
      <c r="D7" s="10">
        <f ca="1">B7-C7</f>
        <v>4833144.1524422243</v>
      </c>
      <c r="E7" s="24"/>
      <c r="F7" s="25"/>
      <c r="G7" s="25"/>
      <c r="H7" s="26"/>
      <c r="I7" s="39"/>
      <c r="J7" s="37"/>
      <c r="K7" s="37">
        <v>1</v>
      </c>
      <c r="L7" s="37">
        <f ca="1">月次返済表!U17/10000</f>
        <v>3417.7068905071528</v>
      </c>
      <c r="M7" s="37">
        <f ca="1">月次返済表!M17/10000</f>
        <v>3417.7068905071528</v>
      </c>
      <c r="O7" s="43" t="str">
        <f>TEXT((月次返済表!A7-1)/12,"0.0")</f>
        <v>0.1</v>
      </c>
      <c r="P7" s="44">
        <f ca="1">月次返済表!S7</f>
        <v>32311.887803469461</v>
      </c>
      <c r="Q7" s="44">
        <f ca="1">月次返済表!T7</f>
        <v>68292.513851170137</v>
      </c>
      <c r="R7" s="44">
        <f ca="1">月次返済表!H7</f>
        <v>32311.887803469461</v>
      </c>
      <c r="S7" s="44">
        <f ca="1">月次返済表!I7</f>
        <v>68292.513851170137</v>
      </c>
      <c r="T7" s="44">
        <f ca="1">月次返済表!R7</f>
        <v>100604.4016546396</v>
      </c>
      <c r="U7" s="44">
        <f ca="1">月次返済表!G7</f>
        <v>100604.4016546396</v>
      </c>
      <c r="V7" s="44"/>
      <c r="W7" s="44">
        <f ca="1">$V$6-T7</f>
        <v>49629.037340523239</v>
      </c>
      <c r="X7" s="44">
        <f ca="1">$V$6-U7</f>
        <v>49629.037340523239</v>
      </c>
    </row>
    <row r="8" spans="1:24" ht="24" customHeight="1">
      <c r="A8" s="8" t="s">
        <v>19</v>
      </c>
      <c r="B8" s="9">
        <f>0</f>
        <v>0</v>
      </c>
      <c r="C8" s="9">
        <f ca="1">SUM(月次返済表!K6:K605)</f>
        <v>3000000</v>
      </c>
      <c r="D8" s="12">
        <f>0</f>
        <v>0</v>
      </c>
      <c r="E8" s="24"/>
      <c r="F8" s="25"/>
      <c r="G8" s="25"/>
      <c r="H8" s="25"/>
      <c r="I8" s="22"/>
      <c r="J8" s="37"/>
      <c r="K8" s="37">
        <v>2</v>
      </c>
      <c r="L8" s="37">
        <f ca="1">月次返済表!U29/10000</f>
        <v>3334.4956659454588</v>
      </c>
      <c r="M8" s="37">
        <f ca="1">月次返済表!M29/10000</f>
        <v>3334.4956659454588</v>
      </c>
      <c r="O8" s="43" t="str">
        <f>TEXT((月次返済表!A8-1)/12,"0.0")</f>
        <v>0.2</v>
      </c>
      <c r="P8" s="44">
        <f ca="1">月次返済表!S8</f>
        <v>32248.717228157126</v>
      </c>
      <c r="Q8" s="44">
        <f ca="1">月次返済表!T8</f>
        <v>68355.684426482476</v>
      </c>
      <c r="R8" s="44">
        <f ca="1">月次返済表!H8</f>
        <v>32248.717228157126</v>
      </c>
      <c r="S8" s="44">
        <f ca="1">月次返済表!I8</f>
        <v>68355.684426482476</v>
      </c>
      <c r="T8" s="44">
        <f ca="1">月次返済表!R8</f>
        <v>100604.4016546396</v>
      </c>
      <c r="U8" s="44">
        <f ca="1">月次返済表!G8</f>
        <v>100604.4016546396</v>
      </c>
      <c r="V8" s="44"/>
      <c r="W8" s="44">
        <f ca="1">$V$6-T8</f>
        <v>49629.037340523239</v>
      </c>
      <c r="X8" s="44">
        <f ca="1">$V$6-U8</f>
        <v>49629.037340523239</v>
      </c>
    </row>
    <row r="9" spans="1:24" ht="24" customHeight="1">
      <c r="A9" s="8" t="s">
        <v>20</v>
      </c>
      <c r="B9" s="9">
        <f>0</f>
        <v>0</v>
      </c>
      <c r="C9" s="9">
        <f ca="1">SUM(月次返済表!L6:L605)</f>
        <v>0</v>
      </c>
      <c r="D9" s="12">
        <f ca="1">B9-C9</f>
        <v>0</v>
      </c>
      <c r="E9" s="24"/>
      <c r="F9" s="25"/>
      <c r="G9" s="25"/>
      <c r="H9" s="25"/>
      <c r="I9" s="22"/>
      <c r="J9" s="37"/>
      <c r="K9" s="37">
        <v>3</v>
      </c>
      <c r="L9" s="37">
        <f ca="1">月次返済表!U41/10000</f>
        <v>3250.3560832303538</v>
      </c>
      <c r="M9" s="37">
        <f ca="1">月次返済表!M41/10000</f>
        <v>3250.3560832303538</v>
      </c>
      <c r="O9" s="43" t="str">
        <f>TEXT((月次返済表!A9-1)/12,"0.0")</f>
        <v>0.3</v>
      </c>
      <c r="P9" s="44">
        <f ca="1">月次返済表!S9</f>
        <v>32185.488220062631</v>
      </c>
      <c r="Q9" s="44">
        <f ca="1">月次返済表!T9</f>
        <v>68418.913434576971</v>
      </c>
      <c r="R9" s="44">
        <f ca="1">月次返済表!H9</f>
        <v>32185.488220062631</v>
      </c>
      <c r="S9" s="44">
        <f ca="1">月次返済表!I9</f>
        <v>68418.913434576971</v>
      </c>
      <c r="T9" s="44">
        <f ca="1">月次返済表!R9</f>
        <v>100604.4016546396</v>
      </c>
      <c r="U9" s="44">
        <f ca="1">月次返済表!G9</f>
        <v>100604.4016546396</v>
      </c>
      <c r="V9" s="44"/>
      <c r="W9" s="44">
        <f ca="1">$V$6-T9</f>
        <v>49629.037340523239</v>
      </c>
      <c r="X9" s="44">
        <f ca="1">$V$6-U9</f>
        <v>49629.037340523239</v>
      </c>
    </row>
    <row r="10" spans="1:24" ht="24" customHeight="1">
      <c r="A10" s="8" t="s">
        <v>21</v>
      </c>
      <c r="B10" s="9">
        <f ca="1">COUNTIFS(月次返済表!P6:P605,"&gt;0.000001")+COUNTIFS(月次返済表!P6:P605,"&lt;=0.000001",月次返済表!AC6:AC605,"&gt;0.000001")</f>
        <v>420</v>
      </c>
      <c r="C10" s="9">
        <f ca="1">COUNTIFS(月次返済表!D6:D605,"&gt;0.000001")+COUNTIFS(月次返済表!D6:D605,"&lt;=0.000001",月次返済表!Z6:Z605,"&gt;0.000001")</f>
        <v>380</v>
      </c>
      <c r="D10" s="12">
        <f ca="1">B10-C10</f>
        <v>40</v>
      </c>
      <c r="E10" s="24"/>
      <c r="F10" s="36" t="s">
        <v>130</v>
      </c>
      <c r="G10" s="36"/>
      <c r="H10" s="36"/>
      <c r="I10" s="22"/>
      <c r="J10" s="37"/>
      <c r="K10" s="37">
        <v>4</v>
      </c>
      <c r="L10" s="37">
        <f ca="1">月次返済表!U53/10000</f>
        <v>3165.2777849988061</v>
      </c>
      <c r="M10" s="37">
        <f ca="1">月次返済表!M53/10000</f>
        <v>3165.2777849988061</v>
      </c>
      <c r="O10" s="43" t="str">
        <f>TEXT((月次返済表!A10-1)/12,"0.0")</f>
        <v>0.3</v>
      </c>
      <c r="P10" s="44">
        <f ca="1">月次返済表!S10</f>
        <v>32122.200725135644</v>
      </c>
      <c r="Q10" s="44">
        <f ca="1">月次返済表!T10</f>
        <v>68482.200929503961</v>
      </c>
      <c r="R10" s="44">
        <f ca="1">月次返済表!H10</f>
        <v>32122.200725135644</v>
      </c>
      <c r="S10" s="44">
        <f ca="1">月次返済表!I10</f>
        <v>68482.200929503961</v>
      </c>
      <c r="T10" s="44">
        <f ca="1">月次返済表!R10</f>
        <v>100604.4016546396</v>
      </c>
      <c r="U10" s="44">
        <f ca="1">月次返済表!G10</f>
        <v>100604.4016546396</v>
      </c>
      <c r="V10" s="44"/>
      <c r="W10" s="44">
        <f ca="1">$V$6-T10</f>
        <v>49629.037340523239</v>
      </c>
      <c r="X10" s="44">
        <f ca="1">$V$6-U10</f>
        <v>49629.037340523239</v>
      </c>
    </row>
    <row r="11" spans="1:24" ht="24" customHeight="1">
      <c r="A11" s="8" t="s">
        <v>22</v>
      </c>
      <c r="B11" s="13">
        <f ca="1">EDATE(入力設定!B7,B10-1)</f>
        <v>59080</v>
      </c>
      <c r="C11" s="13">
        <f ca="1">EDATE(入力設定!B7,C10-1)</f>
        <v>57862</v>
      </c>
      <c r="D11" s="12" t="str">
        <f>""</f>
        <v/>
      </c>
      <c r="E11" s="27"/>
      <c r="F11" s="27"/>
      <c r="G11" s="27"/>
      <c r="H11" s="27"/>
      <c r="I11" s="22"/>
      <c r="J11" s="37"/>
      <c r="K11" s="37">
        <v>5</v>
      </c>
      <c r="L11" s="37">
        <f ca="1">月次返済表!U65/10000</f>
        <v>3079.2502983343556</v>
      </c>
      <c r="M11" s="37">
        <f ca="1">月次返済表!M65/10000</f>
        <v>2779.2502983343556</v>
      </c>
      <c r="O11" s="43" t="str">
        <f>TEXT((月次返済表!A11-1)/12,"0.0")</f>
        <v>0.4</v>
      </c>
      <c r="P11" s="44">
        <f ca="1">月次返済表!S11</f>
        <v>32058.85468927585</v>
      </c>
      <c r="Q11" s="44">
        <f ca="1">月次返済表!T11</f>
        <v>68545.546965363756</v>
      </c>
      <c r="R11" s="44">
        <f ca="1">月次返済表!H11</f>
        <v>32058.85468927585</v>
      </c>
      <c r="S11" s="44">
        <f ca="1">月次返済表!I11</f>
        <v>68545.546965363756</v>
      </c>
      <c r="T11" s="44">
        <f ca="1">月次返済表!R11</f>
        <v>100604.4016546396</v>
      </c>
      <c r="U11" s="44">
        <f ca="1">月次返済表!G11</f>
        <v>100604.4016546396</v>
      </c>
      <c r="V11" s="44"/>
      <c r="W11" s="44">
        <f ca="1">$V$6-T11</f>
        <v>49629.037340523239</v>
      </c>
      <c r="X11" s="44">
        <f ca="1">$V$6-U11</f>
        <v>49629.037340523239</v>
      </c>
    </row>
    <row r="12" spans="1:24" ht="24" customHeight="1">
      <c r="A12" s="8" t="s">
        <v>23</v>
      </c>
      <c r="B12" s="9">
        <f ca="1">月次返済表!R6</f>
        <v>100604.4016546396</v>
      </c>
      <c r="C12" s="9">
        <f ca="1">月次返済表!G6</f>
        <v>100604.4016546396</v>
      </c>
      <c r="D12" s="12">
        <f ca="1">B12-C12</f>
        <v>0</v>
      </c>
      <c r="E12" s="27"/>
      <c r="F12" s="27"/>
      <c r="G12" s="27"/>
      <c r="H12" s="27"/>
      <c r="I12" s="22"/>
      <c r="J12" s="37"/>
      <c r="K12" s="37">
        <v>6</v>
      </c>
      <c r="L12" s="37">
        <f ca="1">月次返済表!U77/10000</f>
        <v>3009.4340476702282</v>
      </c>
      <c r="M12" s="37">
        <f ca="1">月次返済表!M77/10000</f>
        <v>2704.985552659205</v>
      </c>
      <c r="O12" s="43" t="str">
        <f>TEXT((月次返済表!A12-1)/12,"0.0")</f>
        <v>0.5</v>
      </c>
      <c r="P12" s="44">
        <f ca="1">月次返済表!S12</f>
        <v>31995.450058332892</v>
      </c>
      <c r="Q12" s="44">
        <f ca="1">月次返済表!T12</f>
        <v>68608.95159630671</v>
      </c>
      <c r="R12" s="44">
        <f ca="1">月次返済表!H12</f>
        <v>31995.450058332892</v>
      </c>
      <c r="S12" s="44">
        <f ca="1">月次返済表!I12</f>
        <v>68608.95159630671</v>
      </c>
      <c r="T12" s="44">
        <f ca="1">月次返済表!R12</f>
        <v>100604.4016546396</v>
      </c>
      <c r="U12" s="44">
        <f ca="1">月次返済表!G12</f>
        <v>100604.4016546396</v>
      </c>
      <c r="V12" s="44"/>
      <c r="W12" s="44">
        <f ca="1">$V$6-T12</f>
        <v>49629.037340523239</v>
      </c>
      <c r="X12" s="44">
        <f ca="1">$V$6-U12</f>
        <v>49629.037340523239</v>
      </c>
    </row>
    <row r="13" spans="1:24" ht="24" customHeight="1">
      <c r="A13" s="8" t="s">
        <v>24</v>
      </c>
      <c r="B13" s="9">
        <f ca="1">MAX(月次返済表!R6:R605)</f>
        <v>150233.43899516284</v>
      </c>
      <c r="C13" s="9">
        <f ca="1">MAX(月次返済表!G6:G605)</f>
        <v>142266.59803561613</v>
      </c>
      <c r="D13" s="12">
        <f ca="1">B13-C13</f>
        <v>7966.8409595467092</v>
      </c>
      <c r="E13" s="3"/>
      <c r="F13" s="3"/>
      <c r="G13" s="3"/>
      <c r="H13" s="3"/>
      <c r="I13" s="37"/>
      <c r="J13" s="37"/>
      <c r="K13" s="37">
        <v>7</v>
      </c>
      <c r="L13" s="37">
        <f ca="1">月次返済表!U89/10000</f>
        <v>2937.8522517544461</v>
      </c>
      <c r="M13" s="37">
        <f ca="1">月次返済表!M89/10000</f>
        <v>2628.842766157672</v>
      </c>
      <c r="O13" s="43" t="str">
        <f>TEXT((月次返済表!A13-1)/12,"0.0")</f>
        <v>0.6</v>
      </c>
      <c r="P13" s="44">
        <f ca="1">月次返済表!S13</f>
        <v>31931.986778106311</v>
      </c>
      <c r="Q13" s="44">
        <f ca="1">月次返済表!T13</f>
        <v>68672.414876533294</v>
      </c>
      <c r="R13" s="44">
        <f ca="1">月次返済表!H13</f>
        <v>31931.986778106311</v>
      </c>
      <c r="S13" s="44">
        <f ca="1">月次返済表!I13</f>
        <v>68672.414876533294</v>
      </c>
      <c r="T13" s="44">
        <f ca="1">月次返済表!R13</f>
        <v>100604.4016546396</v>
      </c>
      <c r="U13" s="44">
        <f ca="1">月次返済表!G13</f>
        <v>100604.4016546396</v>
      </c>
      <c r="V13" s="44"/>
      <c r="W13" s="44">
        <f ca="1">$V$6-T13</f>
        <v>49629.037340523239</v>
      </c>
      <c r="X13" s="44">
        <f ca="1">$V$6-U13</f>
        <v>49629.037340523239</v>
      </c>
    </row>
    <row r="14" spans="1:24" ht="24" customHeight="1">
      <c r="A14" s="8"/>
      <c r="B14" s="14"/>
      <c r="C14" s="14"/>
      <c r="D14" s="15"/>
      <c r="E14" s="3"/>
      <c r="F14" s="3"/>
      <c r="G14" s="3"/>
      <c r="H14" s="3"/>
      <c r="I14" s="37"/>
      <c r="J14" s="37"/>
      <c r="K14" s="37">
        <v>8</v>
      </c>
      <c r="L14" s="37">
        <f ca="1">月次返済表!U101/10000</f>
        <v>2864.4602626718615</v>
      </c>
      <c r="M14" s="37">
        <f ca="1">月次返済表!M101/10000</f>
        <v>2550.7744460751073</v>
      </c>
      <c r="O14" s="43" t="str">
        <f>TEXT((月次返済表!A14-1)/12,"0.0")</f>
        <v>0.7</v>
      </c>
      <c r="P14" s="44">
        <f ca="1">月次返済表!S14</f>
        <v>31868.464794345517</v>
      </c>
      <c r="Q14" s="44">
        <f ca="1">月次返済表!T14</f>
        <v>68735.936860294081</v>
      </c>
      <c r="R14" s="44">
        <f ca="1">月次返済表!H14</f>
        <v>31868.464794345517</v>
      </c>
      <c r="S14" s="44">
        <f ca="1">月次返済表!I14</f>
        <v>68735.936860294081</v>
      </c>
      <c r="T14" s="44">
        <f ca="1">月次返済表!R14</f>
        <v>100604.4016546396</v>
      </c>
      <c r="U14" s="44">
        <f ca="1">月次返済表!G14</f>
        <v>100604.4016546396</v>
      </c>
      <c r="V14" s="44"/>
      <c r="W14" s="44">
        <f ca="1">$V$6-T14</f>
        <v>49629.037340523239</v>
      </c>
      <c r="X14" s="44">
        <f ca="1">$V$6-U14</f>
        <v>49629.037340523239</v>
      </c>
    </row>
    <row r="15" spans="1:24" ht="24" customHeight="1">
      <c r="A15" s="16" t="s">
        <v>25</v>
      </c>
      <c r="B15" s="17" t="str">
        <f>入力設定!B8</f>
        <v>期間短縮型</v>
      </c>
      <c r="C15" s="17"/>
      <c r="D15" s="18"/>
      <c r="E15" s="3"/>
      <c r="F15" s="3"/>
      <c r="G15" s="3"/>
      <c r="H15" s="3"/>
      <c r="I15" s="37"/>
      <c r="J15" s="37"/>
      <c r="K15" s="37">
        <v>9</v>
      </c>
      <c r="L15" s="37">
        <f ca="1">月次返済表!U113/10000</f>
        <v>2789.2123034304436</v>
      </c>
      <c r="M15" s="37">
        <f ca="1">月次返済表!M113/10000</f>
        <v>2470.7318986383775</v>
      </c>
      <c r="O15" s="43" t="str">
        <f>TEXT((月次返済表!A15-1)/12,"0.0")</f>
        <v>0.8</v>
      </c>
      <c r="P15" s="44">
        <f ca="1">月次返済表!S15</f>
        <v>31804.884052749741</v>
      </c>
      <c r="Q15" s="44">
        <f ca="1">月次返済表!T15</f>
        <v>68799.517601889864</v>
      </c>
      <c r="R15" s="44">
        <f ca="1">月次返済表!H15</f>
        <v>31804.884052749741</v>
      </c>
      <c r="S15" s="44">
        <f ca="1">月次返済表!I15</f>
        <v>68799.517601889864</v>
      </c>
      <c r="T15" s="44">
        <f ca="1">月次返済表!R15</f>
        <v>100604.4016546396</v>
      </c>
      <c r="U15" s="44">
        <f ca="1">月次返済表!G15</f>
        <v>100604.4016546396</v>
      </c>
      <c r="V15" s="44"/>
      <c r="W15" s="44">
        <f ca="1">$V$6-T15</f>
        <v>49629.037340523239</v>
      </c>
      <c r="X15" s="44">
        <f ca="1">$V$6-U15</f>
        <v>49629.037340523239</v>
      </c>
    </row>
    <row r="16" spans="1:24" ht="14.4" customHeight="1">
      <c r="A16" s="3"/>
      <c r="B16" s="3"/>
      <c r="C16" s="3"/>
      <c r="D16" s="3"/>
      <c r="E16" s="3"/>
      <c r="F16" s="3"/>
      <c r="G16" s="3"/>
      <c r="H16" s="3"/>
      <c r="I16" s="37"/>
      <c r="J16" s="37"/>
      <c r="K16" s="37">
        <v>10</v>
      </c>
      <c r="L16" s="37">
        <f ca="1">月次返済表!U125/10000</f>
        <v>2712.0614394086701</v>
      </c>
      <c r="M16" s="37">
        <f ca="1">月次返済表!M125/10000</f>
        <v>2388.6651986839611</v>
      </c>
      <c r="O16" s="43" t="str">
        <f>TEXT((月次返済表!A16-1)/12,"0.0")</f>
        <v>0.8</v>
      </c>
      <c r="P16" s="44">
        <f ca="1">月次返済表!S16</f>
        <v>31741.244498967993</v>
      </c>
      <c r="Q16" s="44">
        <f ca="1">月次返済表!T16</f>
        <v>68863.157155671608</v>
      </c>
      <c r="R16" s="44">
        <f ca="1">月次返済表!H16</f>
        <v>31741.244498967993</v>
      </c>
      <c r="S16" s="44">
        <f ca="1">月次返済表!I16</f>
        <v>68863.157155671608</v>
      </c>
      <c r="T16" s="44">
        <f ca="1">月次返済表!R16</f>
        <v>100604.4016546396</v>
      </c>
      <c r="U16" s="44">
        <f ca="1">月次返済表!G16</f>
        <v>100604.4016546396</v>
      </c>
      <c r="V16" s="44"/>
      <c r="W16" s="44">
        <f ca="1">$V$6-T16</f>
        <v>49629.037340523239</v>
      </c>
      <c r="X16" s="44">
        <f ca="1">$V$6-U16</f>
        <v>49629.037340523239</v>
      </c>
    </row>
    <row r="17" spans="1:24" ht="16.2" customHeight="1">
      <c r="A17" s="3" t="s">
        <v>124</v>
      </c>
      <c r="B17" s="3"/>
      <c r="C17" s="3"/>
      <c r="D17" s="3"/>
      <c r="E17" s="3"/>
      <c r="F17" s="3"/>
      <c r="G17" s="3"/>
      <c r="H17" s="3"/>
      <c r="I17" s="37"/>
      <c r="J17" s="37"/>
      <c r="K17" s="37">
        <v>11</v>
      </c>
      <c r="L17" s="37">
        <f ca="1">月次返済表!U137/10000</f>
        <v>2638.0807246121162</v>
      </c>
      <c r="M17" s="37">
        <f ca="1">月次返済表!M137/10000</f>
        <v>2309.1744790025027</v>
      </c>
      <c r="O17" s="43" t="str">
        <f>TEXT((月次返済表!A17-1)/12,"0.0")</f>
        <v>0.9</v>
      </c>
      <c r="P17" s="44">
        <f ca="1">月次返済表!S17</f>
        <v>31677.546078599</v>
      </c>
      <c r="Q17" s="44">
        <f ca="1">月次返済表!T17</f>
        <v>68926.855576040602</v>
      </c>
      <c r="R17" s="44">
        <f ca="1">月次返済表!H17</f>
        <v>31677.546078599</v>
      </c>
      <c r="S17" s="44">
        <f ca="1">月次返済表!I17</f>
        <v>68926.855576040602</v>
      </c>
      <c r="T17" s="44">
        <f ca="1">月次返済表!R17</f>
        <v>100604.4016546396</v>
      </c>
      <c r="U17" s="44">
        <f ca="1">月次返済表!G17</f>
        <v>100604.4016546396</v>
      </c>
      <c r="V17" s="44"/>
      <c r="W17" s="44">
        <f ca="1">$V$6-T17</f>
        <v>49629.037340523239</v>
      </c>
      <c r="X17" s="44">
        <f ca="1">$V$6-U17</f>
        <v>49629.037340523239</v>
      </c>
    </row>
    <row r="18" spans="1:24" ht="16.2" customHeight="1">
      <c r="A18" s="3" t="s">
        <v>125</v>
      </c>
      <c r="B18" s="3"/>
      <c r="C18" s="3"/>
      <c r="D18" s="3"/>
      <c r="E18" s="3"/>
      <c r="F18" s="3"/>
      <c r="G18" s="3"/>
      <c r="H18" s="3"/>
      <c r="I18" s="37"/>
      <c r="J18" s="37"/>
      <c r="K18" s="37">
        <v>12</v>
      </c>
      <c r="L18" s="37">
        <f ca="1">月次返済表!U149/10000</f>
        <v>2561.8498155818793</v>
      </c>
      <c r="M18" s="37">
        <f ca="1">月次返済表!M149/10000</f>
        <v>2227.265973016189</v>
      </c>
      <c r="O18" s="43" t="str">
        <f>TEXT((月次返済表!A18-1)/12,"0.0")</f>
        <v>1.0</v>
      </c>
      <c r="P18" s="44">
        <f ca="1">月次返済表!S18</f>
        <v>31613.788737191164</v>
      </c>
      <c r="Q18" s="44">
        <f ca="1">月次返済表!T18</f>
        <v>68990.612917448438</v>
      </c>
      <c r="R18" s="44">
        <f ca="1">月次返済表!H18</f>
        <v>31613.788737191164</v>
      </c>
      <c r="S18" s="44">
        <f ca="1">月次返済表!I18</f>
        <v>68990.612917448438</v>
      </c>
      <c r="T18" s="44">
        <f ca="1">月次返済表!R18</f>
        <v>100604.4016546396</v>
      </c>
      <c r="U18" s="44">
        <f ca="1">月次返済表!G18</f>
        <v>100604.4016546396</v>
      </c>
      <c r="V18" s="44"/>
      <c r="W18" s="44">
        <f ca="1">$V$6-T18</f>
        <v>49629.037340523239</v>
      </c>
      <c r="X18" s="44">
        <f ca="1">$V$6-U18</f>
        <v>49629.037340523239</v>
      </c>
    </row>
    <row r="19" spans="1:24" ht="16.2" customHeight="1">
      <c r="A19" s="3" t="s">
        <v>123</v>
      </c>
      <c r="B19" s="3"/>
      <c r="C19" s="3"/>
      <c r="D19" s="3"/>
      <c r="E19" s="3"/>
      <c r="F19" s="3"/>
      <c r="G19" s="3"/>
      <c r="H19" s="3"/>
      <c r="I19" s="37"/>
      <c r="J19" s="37"/>
      <c r="K19" s="37">
        <v>13</v>
      </c>
      <c r="L19" s="37">
        <f ca="1">月次返済表!U161/10000</f>
        <v>2483.3002705071017</v>
      </c>
      <c r="M19" s="37">
        <f ca="1">月次返済表!M161/10000</f>
        <v>2142.8661414409453</v>
      </c>
      <c r="O19" s="43" t="str">
        <f>TEXT((月次返済表!A19-1)/12,"0.0")</f>
        <v>1.1</v>
      </c>
      <c r="P19" s="44">
        <f ca="1">月次返済表!S19</f>
        <v>31549.972420242528</v>
      </c>
      <c r="Q19" s="44">
        <f ca="1">月次返済表!T19</f>
        <v>69054.429234397074</v>
      </c>
      <c r="R19" s="44">
        <f ca="1">月次返済表!H19</f>
        <v>31549.972420242528</v>
      </c>
      <c r="S19" s="44">
        <f ca="1">月次返済表!I19</f>
        <v>69054.429234397074</v>
      </c>
      <c r="T19" s="44">
        <f ca="1">月次返済表!R19</f>
        <v>100604.4016546396</v>
      </c>
      <c r="U19" s="44">
        <f ca="1">月次返済表!G19</f>
        <v>100604.4016546396</v>
      </c>
      <c r="V19" s="44"/>
      <c r="W19" s="44">
        <f ca="1">$V$6-T19</f>
        <v>49629.037340523239</v>
      </c>
      <c r="X19" s="44">
        <f ca="1">$V$6-U19</f>
        <v>49629.037340523239</v>
      </c>
    </row>
    <row r="20" spans="1:24" ht="24" customHeight="1">
      <c r="A20" s="3"/>
      <c r="B20" s="3"/>
      <c r="C20" s="3"/>
      <c r="D20" s="3"/>
      <c r="E20" s="3"/>
      <c r="F20" s="3"/>
      <c r="G20" s="3"/>
      <c r="H20" s="3"/>
      <c r="I20" s="37"/>
      <c r="J20" s="37"/>
      <c r="K20" s="37">
        <v>14</v>
      </c>
      <c r="L20" s="37">
        <f ca="1">月次返済表!U173/10000</f>
        <v>2402.3615658537537</v>
      </c>
      <c r="M20" s="37">
        <f ca="1">月次返済表!M173/10000</f>
        <v>2055.8992082250024</v>
      </c>
      <c r="O20" s="43" t="str">
        <f>TEXT((月次返済表!A20-1)/12,"0.0")</f>
        <v>1.2</v>
      </c>
      <c r="P20" s="44">
        <f ca="1">月次返済表!S20</f>
        <v>31486.097073200708</v>
      </c>
      <c r="Q20" s="44">
        <f ca="1">月次返済表!T20</f>
        <v>69118.30458143889</v>
      </c>
      <c r="R20" s="44">
        <f ca="1">月次返済表!H20</f>
        <v>31486.097073200708</v>
      </c>
      <c r="S20" s="44">
        <f ca="1">月次返済表!I20</f>
        <v>69118.30458143889</v>
      </c>
      <c r="T20" s="44">
        <f ca="1">月次返済表!R20</f>
        <v>100604.4016546396</v>
      </c>
      <c r="U20" s="44">
        <f ca="1">月次返済表!G20</f>
        <v>100604.4016546396</v>
      </c>
      <c r="V20" s="44"/>
      <c r="W20" s="44">
        <f ca="1">$V$6-T20</f>
        <v>49629.037340523239</v>
      </c>
      <c r="X20" s="44">
        <f ca="1">$V$6-U20</f>
        <v>49629.037340523239</v>
      </c>
    </row>
    <row r="21" spans="1:24" ht="24" customHeight="1">
      <c r="A21" s="3"/>
      <c r="B21" s="3"/>
      <c r="C21" s="3"/>
      <c r="D21" s="3"/>
      <c r="E21" s="3"/>
      <c r="F21" s="3"/>
      <c r="G21" s="3"/>
      <c r="H21" s="3"/>
      <c r="I21" s="37"/>
      <c r="J21" s="37"/>
      <c r="K21" s="37">
        <v>15</v>
      </c>
      <c r="L21" s="37">
        <f ca="1">月次返済表!U185/10000</f>
        <v>2318.9610330470346</v>
      </c>
      <c r="M21" s="37">
        <f ca="1">月次返済表!M185/10000</f>
        <v>1966.2870925154637</v>
      </c>
      <c r="O21" s="43" t="str">
        <f>TEXT((月次返済表!A21-1)/12,"0.0")</f>
        <v>1.3</v>
      </c>
      <c r="P21" s="44">
        <f ca="1">月次返済表!S21</f>
        <v>31422.162641462874</v>
      </c>
      <c r="Q21" s="44">
        <f ca="1">月次返済表!T21</f>
        <v>69182.239013176732</v>
      </c>
      <c r="R21" s="44">
        <f ca="1">月次返済表!H21</f>
        <v>31422.162641462874</v>
      </c>
      <c r="S21" s="44">
        <f ca="1">月次返済表!I21</f>
        <v>69182.239013176732</v>
      </c>
      <c r="T21" s="44">
        <f ca="1">月次返済表!R21</f>
        <v>100604.4016546396</v>
      </c>
      <c r="U21" s="44">
        <f ca="1">月次返済表!G21</f>
        <v>100604.4016546396</v>
      </c>
      <c r="V21" s="44"/>
      <c r="W21" s="44">
        <f ca="1">$V$6-T21</f>
        <v>49629.037340523239</v>
      </c>
      <c r="X21" s="44">
        <f ca="1">$V$6-U21</f>
        <v>49629.037340523239</v>
      </c>
    </row>
    <row r="22" spans="1:24" ht="24" customHeight="1">
      <c r="A22" s="3"/>
      <c r="B22" s="3"/>
      <c r="C22" s="3"/>
      <c r="D22" s="3"/>
      <c r="E22" s="3"/>
      <c r="F22" s="3"/>
      <c r="G22" s="3"/>
      <c r="H22" s="3"/>
      <c r="I22" s="37"/>
      <c r="J22" s="37"/>
      <c r="K22" s="37">
        <v>16</v>
      </c>
      <c r="L22" s="37">
        <f ca="1">月次返済表!U197/10000</f>
        <v>2241.6835631213694</v>
      </c>
      <c r="M22" s="37">
        <f ca="1">月次返済表!M197/10000</f>
        <v>1881.5666896710447</v>
      </c>
      <c r="O22" s="43" t="str">
        <f>TEXT((月次返済表!A22-1)/12,"0.0")</f>
        <v>1.3</v>
      </c>
      <c r="P22" s="44">
        <f ca="1">月次返済表!S22</f>
        <v>31358.169070375679</v>
      </c>
      <c r="Q22" s="44">
        <f ca="1">月次返済表!T22</f>
        <v>69246.232584263926</v>
      </c>
      <c r="R22" s="44">
        <f ca="1">月次返済表!H22</f>
        <v>31358.169070375679</v>
      </c>
      <c r="S22" s="44">
        <f ca="1">月次返済表!I22</f>
        <v>69246.232584263926</v>
      </c>
      <c r="T22" s="44">
        <f ca="1">月次返済表!R22</f>
        <v>100604.4016546396</v>
      </c>
      <c r="U22" s="44">
        <f ca="1">月次返済表!G22</f>
        <v>100604.4016546396</v>
      </c>
      <c r="V22" s="44"/>
      <c r="W22" s="44">
        <f ca="1">$V$6-T22</f>
        <v>49629.037340523239</v>
      </c>
      <c r="X22" s="44">
        <f ca="1">$V$6-U22</f>
        <v>49629.037340523239</v>
      </c>
    </row>
    <row r="23" spans="1:24" ht="24" customHeight="1">
      <c r="A23" s="3"/>
      <c r="B23" s="3"/>
      <c r="C23" s="3"/>
      <c r="D23" s="3"/>
      <c r="E23" s="3"/>
      <c r="F23" s="3"/>
      <c r="G23" s="3"/>
      <c r="H23" s="3"/>
      <c r="I23" s="37"/>
      <c r="J23" s="37"/>
      <c r="K23" s="37">
        <v>17</v>
      </c>
      <c r="L23" s="37">
        <f ca="1">月次返済表!U209/10000</f>
        <v>2161.2576898379957</v>
      </c>
      <c r="M23" s="37">
        <f ca="1">月次返済表!M209/10000</f>
        <v>1793.3946468979575</v>
      </c>
      <c r="O23" s="43" t="str">
        <f>TEXT((月次返済表!A23-1)/12,"0.0")</f>
        <v>1.4</v>
      </c>
      <c r="P23" s="44">
        <f ca="1">月次返済表!S23</f>
        <v>31294.116305235239</v>
      </c>
      <c r="Q23" s="44">
        <f ca="1">月次返済表!T23</f>
        <v>69310.285349404367</v>
      </c>
      <c r="R23" s="44">
        <f ca="1">月次返済表!H23</f>
        <v>31294.116305235239</v>
      </c>
      <c r="S23" s="44">
        <f ca="1">月次返済表!I23</f>
        <v>69310.285349404367</v>
      </c>
      <c r="T23" s="44">
        <f ca="1">月次返済表!R23</f>
        <v>100604.4016546396</v>
      </c>
      <c r="U23" s="44">
        <f ca="1">月次返済表!G23</f>
        <v>100604.4016546396</v>
      </c>
      <c r="V23" s="44"/>
      <c r="W23" s="44">
        <f ca="1">$V$6-T23</f>
        <v>49629.037340523239</v>
      </c>
      <c r="X23" s="44">
        <f ca="1">$V$6-U23</f>
        <v>49629.037340523239</v>
      </c>
    </row>
    <row r="24" spans="1:24" ht="24" customHeight="1">
      <c r="A24" s="3"/>
      <c r="B24" s="3"/>
      <c r="C24" s="3"/>
      <c r="D24" s="3"/>
      <c r="E24" s="3"/>
      <c r="F24" s="3"/>
      <c r="G24" s="3"/>
      <c r="H24" s="3"/>
      <c r="I24" s="37"/>
      <c r="J24" s="37"/>
      <c r="K24" s="37">
        <v>18</v>
      </c>
      <c r="L24" s="37">
        <f ca="1">月次返済表!U221/10000</f>
        <v>2077.5551423863858</v>
      </c>
      <c r="M24" s="37">
        <f ca="1">月次返済表!M221/10000</f>
        <v>1701.6303390599053</v>
      </c>
      <c r="O24" s="43" t="str">
        <f>TEXT((月次返済表!A24-1)/12,"0.0")</f>
        <v>1.5</v>
      </c>
      <c r="P24" s="44">
        <f ca="1">月次返済表!S24</f>
        <v>31230.004291287041</v>
      </c>
      <c r="Q24" s="44">
        <f ca="1">月次返済表!T24</f>
        <v>69374.39736335256</v>
      </c>
      <c r="R24" s="44">
        <f ca="1">月次返済表!H24</f>
        <v>31230.004291287041</v>
      </c>
      <c r="S24" s="44">
        <f ca="1">月次返済表!I24</f>
        <v>69374.39736335256</v>
      </c>
      <c r="T24" s="44">
        <f ca="1">月次返済表!R24</f>
        <v>100604.4016546396</v>
      </c>
      <c r="U24" s="44">
        <f ca="1">月次返済表!G24</f>
        <v>100604.4016546396</v>
      </c>
      <c r="V24" s="44"/>
      <c r="W24" s="44">
        <f ca="1">$V$6-T24</f>
        <v>49629.037340523239</v>
      </c>
      <c r="X24" s="44">
        <f ca="1">$V$6-U24</f>
        <v>49629.037340523239</v>
      </c>
    </row>
    <row r="25" spans="1:24" ht="24" customHeight="1">
      <c r="A25" s="3"/>
      <c r="B25" s="3"/>
      <c r="C25" s="3"/>
      <c r="D25" s="3"/>
      <c r="E25" s="3"/>
      <c r="F25" s="3"/>
      <c r="G25" s="3"/>
      <c r="H25" s="3"/>
      <c r="I25" s="37"/>
      <c r="J25" s="37"/>
      <c r="K25" s="37">
        <v>19</v>
      </c>
      <c r="L25" s="37">
        <f ca="1">月次返済表!U233/10000</f>
        <v>1990.4424240052801</v>
      </c>
      <c r="M25" s="37">
        <f ca="1">月次返済表!M233/10000</f>
        <v>1606.1274117355645</v>
      </c>
      <c r="O25" s="43" t="str">
        <f>TEXT((月次返済表!A25-1)/12,"0.0")</f>
        <v>1.6</v>
      </c>
      <c r="P25" s="44">
        <f ca="1">月次返済表!S25</f>
        <v>31165.832973725945</v>
      </c>
      <c r="Q25" s="44">
        <f ca="1">月次返済表!T25</f>
        <v>69438.568680913653</v>
      </c>
      <c r="R25" s="44">
        <f ca="1">月次返済表!H25</f>
        <v>31165.832973725945</v>
      </c>
      <c r="S25" s="44">
        <f ca="1">月次返済表!I25</f>
        <v>69438.568680913653</v>
      </c>
      <c r="T25" s="44">
        <f ca="1">月次返済表!R25</f>
        <v>100604.4016546396</v>
      </c>
      <c r="U25" s="44">
        <f ca="1">月次返済表!G25</f>
        <v>100604.4016546396</v>
      </c>
      <c r="V25" s="44"/>
      <c r="W25" s="44">
        <f ca="1">$V$6-T25</f>
        <v>49629.037340523239</v>
      </c>
      <c r="X25" s="44">
        <f ca="1">$V$6-U25</f>
        <v>49629.037340523239</v>
      </c>
    </row>
    <row r="26" spans="1:24" ht="24" customHeight="1">
      <c r="A26" s="3"/>
      <c r="B26" s="3"/>
      <c r="C26" s="3"/>
      <c r="D26" s="3"/>
      <c r="E26" s="3"/>
      <c r="F26" s="3"/>
      <c r="G26" s="3"/>
      <c r="H26" s="3"/>
      <c r="I26" s="37"/>
      <c r="J26" s="37"/>
      <c r="K26" s="37">
        <v>20</v>
      </c>
      <c r="L26" s="37">
        <f ca="1">月次返済表!U245/10000</f>
        <v>1899.7805990693907</v>
      </c>
      <c r="M26" s="37">
        <f ca="1">月次返済表!M245/10000</f>
        <v>1506.7335477986735</v>
      </c>
      <c r="O26" s="43" t="str">
        <f>TEXT((月次返済表!A26-1)/12,"0.0")</f>
        <v>1.7</v>
      </c>
      <c r="P26" s="44">
        <f ca="1">月次返済表!S26</f>
        <v>31101.602297696096</v>
      </c>
      <c r="Q26" s="44">
        <f ca="1">月次返済表!T26</f>
        <v>69502.799356943506</v>
      </c>
      <c r="R26" s="44">
        <f ca="1">月次返済表!H26</f>
        <v>31101.602297696096</v>
      </c>
      <c r="S26" s="44">
        <f ca="1">月次返済表!I26</f>
        <v>69502.799356943506</v>
      </c>
      <c r="T26" s="44">
        <f ca="1">月次返済表!R26</f>
        <v>100604.4016546396</v>
      </c>
      <c r="U26" s="44">
        <f ca="1">月次返済表!G26</f>
        <v>100604.4016546396</v>
      </c>
      <c r="V26" s="44"/>
      <c r="W26" s="44">
        <f ca="1">$V$6-T26</f>
        <v>49629.037340523239</v>
      </c>
      <c r="X26" s="44">
        <f ca="1">$V$6-U26</f>
        <v>49629.037340523239</v>
      </c>
    </row>
    <row r="27" spans="1:24" ht="24" customHeight="1">
      <c r="A27" s="3"/>
      <c r="B27" s="3"/>
      <c r="C27" s="3"/>
      <c r="D27" s="3"/>
      <c r="E27" s="3"/>
      <c r="F27" s="3"/>
      <c r="G27" s="3"/>
      <c r="H27" s="3"/>
      <c r="I27" s="37"/>
      <c r="J27" s="37"/>
      <c r="K27" s="37">
        <v>21</v>
      </c>
      <c r="L27" s="37">
        <f ca="1">月次返済表!U257/10000</f>
        <v>1812.5075113337061</v>
      </c>
      <c r="M27" s="37">
        <f ca="1">月次返済表!M257/10000</f>
        <v>1409.1337958498339</v>
      </c>
      <c r="O27" s="43" t="str">
        <f>TEXT((月次返済表!A27-1)/12,"0.0")</f>
        <v>1.8</v>
      </c>
      <c r="P27" s="44">
        <f ca="1">月次返済表!S27</f>
        <v>31037.312208290925</v>
      </c>
      <c r="Q27" s="44">
        <f ca="1">月次返済表!T27</f>
        <v>69567.089446348677</v>
      </c>
      <c r="R27" s="44">
        <f ca="1">月次返済表!H27</f>
        <v>31037.312208290925</v>
      </c>
      <c r="S27" s="44">
        <f ca="1">月次返済表!I27</f>
        <v>69567.089446348677</v>
      </c>
      <c r="T27" s="44">
        <f ca="1">月次返済表!R27</f>
        <v>100604.4016546396</v>
      </c>
      <c r="U27" s="44">
        <f ca="1">月次返済表!G27</f>
        <v>100604.4016546396</v>
      </c>
      <c r="V27" s="44"/>
      <c r="W27" s="44">
        <f ca="1">$V$6-T27</f>
        <v>49629.037340523239</v>
      </c>
      <c r="X27" s="44">
        <f ca="1">$V$6-U27</f>
        <v>49629.037340523239</v>
      </c>
    </row>
    <row r="28" spans="1:24" ht="24" customHeight="1">
      <c r="A28" s="3"/>
      <c r="B28" s="3"/>
      <c r="C28" s="3"/>
      <c r="D28" s="3"/>
      <c r="E28" s="3"/>
      <c r="F28" s="3"/>
      <c r="G28" s="3"/>
      <c r="H28" s="3"/>
      <c r="I28" s="37"/>
      <c r="J28" s="37"/>
      <c r="K28" s="37">
        <v>22</v>
      </c>
      <c r="L28" s="37">
        <f ca="1">月次返済表!U269/10000</f>
        <v>1720.769366795465</v>
      </c>
      <c r="M28" s="37">
        <f ca="1">月次返済表!M269/10000</f>
        <v>1306.5406553585055</v>
      </c>
      <c r="O28" s="43" t="str">
        <f>TEXT((月次返済表!A28-1)/12,"0.0")</f>
        <v>1.8</v>
      </c>
      <c r="P28" s="44">
        <f ca="1">月次返済表!S28</f>
        <v>30972.96265055305</v>
      </c>
      <c r="Q28" s="44">
        <f ca="1">月次返済表!T28</f>
        <v>69631.439004086555</v>
      </c>
      <c r="R28" s="44">
        <f ca="1">月次返済表!H28</f>
        <v>30972.96265055305</v>
      </c>
      <c r="S28" s="44">
        <f ca="1">月次返済表!I28</f>
        <v>69631.439004086555</v>
      </c>
      <c r="T28" s="44">
        <f ca="1">月次返済表!R28</f>
        <v>100604.4016546396</v>
      </c>
      <c r="U28" s="44">
        <f ca="1">月次返済表!G28</f>
        <v>100604.4016546396</v>
      </c>
      <c r="V28" s="44"/>
      <c r="W28" s="44">
        <f ca="1">$V$6-T28</f>
        <v>49629.037340523239</v>
      </c>
      <c r="X28" s="44">
        <f ca="1">$V$6-U28</f>
        <v>49629.037340523239</v>
      </c>
    </row>
    <row r="29" spans="1:24" ht="24" customHeight="1">
      <c r="A29" s="3"/>
      <c r="B29" s="3"/>
      <c r="C29" s="3"/>
      <c r="D29" s="3"/>
      <c r="E29" s="3"/>
      <c r="F29" s="3"/>
      <c r="G29" s="3"/>
      <c r="H29" s="3"/>
      <c r="I29" s="37"/>
      <c r="J29" s="37"/>
      <c r="K29" s="37">
        <v>23</v>
      </c>
      <c r="L29" s="37">
        <f ca="1">月次返済表!U281/10000</f>
        <v>1624.3377246744981</v>
      </c>
      <c r="M29" s="37">
        <f ca="1">月次返済表!M281/10000</f>
        <v>1198.6986550899931</v>
      </c>
      <c r="O29" s="43" t="str">
        <f>TEXT((月次返済表!A29-1)/12,"0.0")</f>
        <v>1.9</v>
      </c>
      <c r="P29" s="44">
        <f ca="1">月次返済表!S29</f>
        <v>30908.553569474272</v>
      </c>
      <c r="Q29" s="44">
        <f ca="1">月次返済表!T29</f>
        <v>69695.848085165329</v>
      </c>
      <c r="R29" s="44">
        <f ca="1">月次返済表!H29</f>
        <v>30908.553569474272</v>
      </c>
      <c r="S29" s="44">
        <f ca="1">月次返済表!I29</f>
        <v>69695.848085165329</v>
      </c>
      <c r="T29" s="44">
        <f ca="1">月次返済表!R29</f>
        <v>100604.4016546396</v>
      </c>
      <c r="U29" s="44">
        <f ca="1">月次返済表!G29</f>
        <v>100604.4016546396</v>
      </c>
      <c r="V29" s="44"/>
      <c r="W29" s="44">
        <f ca="1">$V$6-T29</f>
        <v>49629.037340523239</v>
      </c>
      <c r="X29" s="44">
        <f ca="1">$V$6-U29</f>
        <v>49629.037340523239</v>
      </c>
    </row>
    <row r="30" spans="1:24" ht="24" customHeight="1">
      <c r="A30" s="3"/>
      <c r="B30" s="3"/>
      <c r="C30" s="3"/>
      <c r="D30" s="3"/>
      <c r="E30" s="3"/>
      <c r="F30" s="3"/>
      <c r="G30" s="3"/>
      <c r="H30" s="3"/>
      <c r="I30" s="37"/>
      <c r="J30" s="37"/>
      <c r="K30" s="37">
        <v>24</v>
      </c>
      <c r="L30" s="37">
        <f ca="1">月次返済表!U293/10000</f>
        <v>1522.9724567267708</v>
      </c>
      <c r="M30" s="37">
        <f ca="1">月次返済表!M293/10000</f>
        <v>1085.3392534163813</v>
      </c>
      <c r="O30" s="43" t="str">
        <f>TEXT((月次返済表!A30-1)/12,"0.0")</f>
        <v>2.0</v>
      </c>
      <c r="P30" s="44">
        <f ca="1">月次返済表!S30</f>
        <v>30844.084909995494</v>
      </c>
      <c r="Q30" s="44">
        <f ca="1">月次返済表!T30</f>
        <v>69760.316744644108</v>
      </c>
      <c r="R30" s="44">
        <f ca="1">月次返済表!H30</f>
        <v>30844.084909995494</v>
      </c>
      <c r="S30" s="44">
        <f ca="1">月次返済表!I30</f>
        <v>69760.316744644108</v>
      </c>
      <c r="T30" s="44">
        <f ca="1">月次返済表!R30</f>
        <v>100604.4016546396</v>
      </c>
      <c r="U30" s="44">
        <f ca="1">月次返済表!G30</f>
        <v>100604.4016546396</v>
      </c>
      <c r="V30" s="44"/>
      <c r="W30" s="44">
        <f ca="1">$V$6-T30</f>
        <v>49629.037340523239</v>
      </c>
      <c r="X30" s="44">
        <f ca="1">$V$6-U30</f>
        <v>49629.037340523239</v>
      </c>
    </row>
    <row r="31" spans="1:24" ht="24" customHeight="1">
      <c r="A31" s="3"/>
      <c r="B31" s="3"/>
      <c r="C31" s="3"/>
      <c r="D31" s="3"/>
      <c r="E31" s="3"/>
      <c r="F31" s="3"/>
      <c r="G31" s="3"/>
      <c r="H31" s="3"/>
      <c r="I31" s="37"/>
      <c r="J31" s="37"/>
      <c r="K31" s="37">
        <v>25</v>
      </c>
      <c r="L31" s="37">
        <f ca="1">月次返済表!U305/10000</f>
        <v>1416.4211492915474</v>
      </c>
      <c r="M31" s="37">
        <f ca="1">月次返済表!M305/10000</f>
        <v>966.18016961040985</v>
      </c>
      <c r="O31" s="43" t="str">
        <f>TEXT((月次返済表!A31-1)/12,"0.0")</f>
        <v>2.1</v>
      </c>
      <c r="P31" s="44">
        <f ca="1">月次返済表!S31</f>
        <v>30779.5566170067</v>
      </c>
      <c r="Q31" s="44">
        <f ca="1">月次返済表!T31</f>
        <v>69824.845037632898</v>
      </c>
      <c r="R31" s="44">
        <f ca="1">月次返済表!H31</f>
        <v>30779.5566170067</v>
      </c>
      <c r="S31" s="44">
        <f ca="1">月次返済表!I31</f>
        <v>69824.845037632898</v>
      </c>
      <c r="T31" s="44">
        <f ca="1">月次返済表!R31</f>
        <v>100604.4016546396</v>
      </c>
      <c r="U31" s="44">
        <f ca="1">月次返済表!G31</f>
        <v>100604.4016546396</v>
      </c>
      <c r="V31" s="44"/>
      <c r="W31" s="44">
        <f ca="1">$V$6-T31</f>
        <v>49629.037340523239</v>
      </c>
      <c r="X31" s="44">
        <f ca="1">$V$6-U31</f>
        <v>49629.037340523239</v>
      </c>
    </row>
    <row r="32" spans="1:24" ht="24" customHeight="1">
      <c r="A32" s="3"/>
      <c r="B32" s="3"/>
      <c r="C32" s="3"/>
      <c r="D32" s="3"/>
      <c r="E32" s="3"/>
      <c r="F32" s="3"/>
      <c r="G32" s="3"/>
      <c r="H32" s="3"/>
      <c r="I32" s="37"/>
      <c r="J32" s="37"/>
      <c r="K32" s="37">
        <v>26</v>
      </c>
      <c r="L32" s="37">
        <f ca="1">月次返済表!U317/10000</f>
        <v>1304.4184747461577</v>
      </c>
      <c r="M32" s="37">
        <f ca="1">月次返済表!M317/10000</f>
        <v>840.924680927076</v>
      </c>
      <c r="O32" s="43" t="str">
        <f>TEXT((月次返済表!A32-1)/12,"0.0")</f>
        <v>2.2</v>
      </c>
      <c r="P32" s="44">
        <f ca="1">月次返済表!S32</f>
        <v>30714.96863534689</v>
      </c>
      <c r="Q32" s="44">
        <f ca="1">月次返済表!T32</f>
        <v>69889.433019292715</v>
      </c>
      <c r="R32" s="44">
        <f ca="1">月次返済表!H32</f>
        <v>30714.96863534689</v>
      </c>
      <c r="S32" s="44">
        <f ca="1">月次返済表!I32</f>
        <v>69889.433019292715</v>
      </c>
      <c r="T32" s="44">
        <f ca="1">月次返済表!R32</f>
        <v>100604.4016546396</v>
      </c>
      <c r="U32" s="44">
        <f ca="1">月次返済表!G32</f>
        <v>100604.4016546396</v>
      </c>
      <c r="V32" s="44"/>
      <c r="W32" s="44">
        <f ca="1">$V$6-T32</f>
        <v>49629.037340523239</v>
      </c>
      <c r="X32" s="44">
        <f ca="1">$V$6-U32</f>
        <v>49629.037340523239</v>
      </c>
    </row>
    <row r="33" spans="1:24" ht="24" customHeight="1">
      <c r="A33" s="3"/>
      <c r="B33" s="3"/>
      <c r="C33" s="3"/>
      <c r="D33" s="3"/>
      <c r="E33" s="3"/>
      <c r="F33" s="3"/>
      <c r="G33" s="3"/>
      <c r="H33" s="3"/>
      <c r="I33" s="37"/>
      <c r="J33" s="37"/>
      <c r="K33" s="37">
        <v>27</v>
      </c>
      <c r="L33" s="37">
        <f ca="1">月次返済表!U329/10000</f>
        <v>1186.6855308031954</v>
      </c>
      <c r="M33" s="37">
        <f ca="1">月次返済表!M329/10000</f>
        <v>709.26088372259903</v>
      </c>
      <c r="O33" s="43" t="str">
        <f>TEXT((月次返済表!A33-1)/12,"0.0")</f>
        <v>2.3</v>
      </c>
      <c r="P33" s="44">
        <f ca="1">月次返済表!S33</f>
        <v>30650.320909804042</v>
      </c>
      <c r="Q33" s="44">
        <f ca="1">月次返済表!T33</f>
        <v>69954.080744835563</v>
      </c>
      <c r="R33" s="44">
        <f ca="1">月次返済表!H33</f>
        <v>30650.320909804042</v>
      </c>
      <c r="S33" s="44">
        <f ca="1">月次返済表!I33</f>
        <v>69954.080744835563</v>
      </c>
      <c r="T33" s="44">
        <f ca="1">月次返済表!R33</f>
        <v>100604.4016546396</v>
      </c>
      <c r="U33" s="44">
        <f ca="1">月次返済表!G33</f>
        <v>100604.4016546396</v>
      </c>
      <c r="V33" s="44"/>
      <c r="W33" s="44">
        <f ca="1">$V$6-T33</f>
        <v>49629.037340523239</v>
      </c>
      <c r="X33" s="44">
        <f ca="1">$V$6-U33</f>
        <v>49629.037340523239</v>
      </c>
    </row>
    <row r="34" spans="1:24" ht="24" customHeight="1">
      <c r="A34" s="3"/>
      <c r="B34" s="3"/>
      <c r="C34" s="3"/>
      <c r="D34" s="3"/>
      <c r="E34" s="3"/>
      <c r="F34" s="3"/>
      <c r="G34" s="3"/>
      <c r="H34" s="3"/>
      <c r="I34" s="37"/>
      <c r="J34" s="37"/>
      <c r="K34" s="37">
        <v>28</v>
      </c>
      <c r="L34" s="37">
        <f ca="1">月次返済表!U341/10000</f>
        <v>1062.9291460049076</v>
      </c>
      <c r="M34" s="37">
        <f ca="1">月次返済表!M341/10000</f>
        <v>570.86091677082516</v>
      </c>
      <c r="O34" s="43" t="str">
        <f>TEXT((月次返済表!A34-1)/12,"0.0")</f>
        <v>2.3</v>
      </c>
      <c r="P34" s="44">
        <f ca="1">月次返済表!S34</f>
        <v>30585.61338511507</v>
      </c>
      <c r="Q34" s="44">
        <f ca="1">月次返済表!T34</f>
        <v>70018.788269524535</v>
      </c>
      <c r="R34" s="44">
        <f ca="1">月次返済表!H34</f>
        <v>30585.61338511507</v>
      </c>
      <c r="S34" s="44">
        <f ca="1">月次返済表!I34</f>
        <v>70018.788269524535</v>
      </c>
      <c r="T34" s="44">
        <f ca="1">月次返済表!R34</f>
        <v>100604.4016546396</v>
      </c>
      <c r="U34" s="44">
        <f ca="1">月次返済表!G34</f>
        <v>100604.4016546396</v>
      </c>
      <c r="V34" s="44"/>
      <c r="W34" s="44">
        <f ca="1">$V$6-T34</f>
        <v>49629.037340523239</v>
      </c>
      <c r="X34" s="44">
        <f ca="1">$V$6-U34</f>
        <v>49629.037340523239</v>
      </c>
    </row>
    <row r="35" spans="1:24" ht="24" customHeight="1">
      <c r="A35" s="3"/>
      <c r="B35" s="3"/>
      <c r="C35" s="3"/>
      <c r="D35" s="3"/>
      <c r="E35" s="3"/>
      <c r="F35" s="3"/>
      <c r="G35" s="3"/>
      <c r="H35" s="3"/>
      <c r="I35" s="37"/>
      <c r="J35" s="37"/>
      <c r="K35" s="37">
        <v>29</v>
      </c>
      <c r="L35" s="37">
        <f ca="1">月次返済表!U353/10000</f>
        <v>932.84114968535732</v>
      </c>
      <c r="M35" s="37">
        <f ca="1">月次返済表!M353/10000</f>
        <v>425.38014484302948</v>
      </c>
      <c r="O35" s="43" t="str">
        <f>TEXT((月次返済表!A35-1)/12,"0.0")</f>
        <v>2.4</v>
      </c>
      <c r="P35" s="44">
        <f ca="1">月次返済表!S35</f>
        <v>30520.846005965763</v>
      </c>
      <c r="Q35" s="44">
        <f ca="1">月次返済表!T35</f>
        <v>70083.555648673835</v>
      </c>
      <c r="R35" s="44">
        <f ca="1">月次返済表!H35</f>
        <v>30520.846005965763</v>
      </c>
      <c r="S35" s="44">
        <f ca="1">月次返済表!I35</f>
        <v>70083.555648673835</v>
      </c>
      <c r="T35" s="44">
        <f ca="1">月次返済表!R35</f>
        <v>100604.4016546396</v>
      </c>
      <c r="U35" s="44">
        <f ca="1">月次返済表!G35</f>
        <v>100604.4016546396</v>
      </c>
      <c r="V35" s="44"/>
      <c r="W35" s="44">
        <f ca="1">$V$6-T35</f>
        <v>49629.037340523239</v>
      </c>
      <c r="X35" s="44">
        <f ca="1">$V$6-U35</f>
        <v>49629.037340523239</v>
      </c>
    </row>
    <row r="36" spans="1:24" ht="24" customHeight="1">
      <c r="A36" s="3"/>
      <c r="B36" s="3"/>
      <c r="C36" s="3"/>
      <c r="D36" s="3"/>
      <c r="E36" s="3"/>
      <c r="F36" s="3"/>
      <c r="G36" s="3"/>
      <c r="H36" s="3"/>
      <c r="I36" s="37"/>
      <c r="J36" s="37"/>
      <c r="K36" s="37">
        <v>30</v>
      </c>
      <c r="L36" s="37">
        <f ca="1">月次返済表!U365/10000</f>
        <v>796.09760458246717</v>
      </c>
      <c r="M36" s="37">
        <f ca="1">月次返済表!M365/10000</f>
        <v>272.45630051810821</v>
      </c>
      <c r="O36" s="43" t="str">
        <f>TEXT((月次返済表!A36-1)/12,"0.0")</f>
        <v>2.5</v>
      </c>
      <c r="P36" s="44">
        <f ca="1">月次返済表!S36</f>
        <v>30456.01871699074</v>
      </c>
      <c r="Q36" s="44">
        <f ca="1">月次返済表!T36</f>
        <v>70148.382937648857</v>
      </c>
      <c r="R36" s="44">
        <f ca="1">月次返済表!H36</f>
        <v>30456.01871699074</v>
      </c>
      <c r="S36" s="44">
        <f ca="1">月次返済表!I36</f>
        <v>70148.382937648857</v>
      </c>
      <c r="T36" s="44">
        <f ca="1">月次返済表!R36</f>
        <v>100604.4016546396</v>
      </c>
      <c r="U36" s="44">
        <f ca="1">月次返済表!G36</f>
        <v>100604.4016546396</v>
      </c>
      <c r="V36" s="44"/>
      <c r="W36" s="44">
        <f ca="1">$V$6-T36</f>
        <v>49629.037340523239</v>
      </c>
      <c r="X36" s="44">
        <f ca="1">$V$6-U36</f>
        <v>49629.037340523239</v>
      </c>
    </row>
    <row r="37" spans="1:24" ht="24" customHeight="1">
      <c r="A37" s="3"/>
      <c r="B37" s="3"/>
      <c r="C37" s="3"/>
      <c r="D37" s="3"/>
      <c r="E37" s="3"/>
      <c r="F37" s="3"/>
      <c r="G37" s="3"/>
      <c r="H37" s="3"/>
      <c r="I37" s="37"/>
      <c r="J37" s="37"/>
      <c r="K37" s="37">
        <v>31</v>
      </c>
      <c r="L37" s="37">
        <f ca="1">月次返済表!U377/10000</f>
        <v>652.35800018903581</v>
      </c>
      <c r="M37" s="37">
        <f ca="1">月次返済表!M377/10000</f>
        <v>111.70858208615125</v>
      </c>
      <c r="O37" s="43" t="str">
        <f>TEXT((月次返済表!A37-1)/12,"0.0")</f>
        <v>2.6</v>
      </c>
      <c r="P37" s="44">
        <f ca="1">月次返済表!S37</f>
        <v>30391.131462773414</v>
      </c>
      <c r="Q37" s="44">
        <f ca="1">月次返済表!T37</f>
        <v>70213.270191866191</v>
      </c>
      <c r="R37" s="44">
        <f ca="1">月次返済表!H37</f>
        <v>30391.131462773414</v>
      </c>
      <c r="S37" s="44">
        <f ca="1">月次返済表!I37</f>
        <v>70213.270191866191</v>
      </c>
      <c r="T37" s="44">
        <f ca="1">月次返済表!R37</f>
        <v>100604.4016546396</v>
      </c>
      <c r="U37" s="44">
        <f ca="1">月次返済表!G37</f>
        <v>100604.4016546396</v>
      </c>
      <c r="V37" s="44"/>
      <c r="W37" s="44">
        <f ca="1">$V$6-T37</f>
        <v>49629.037340523239</v>
      </c>
      <c r="X37" s="44">
        <f ca="1">$V$6-U37</f>
        <v>49629.037340523239</v>
      </c>
    </row>
    <row r="38" spans="1:24" ht="28.05" customHeight="1">
      <c r="A38" s="19" t="s">
        <v>26</v>
      </c>
      <c r="B38" s="19"/>
      <c r="C38" s="19"/>
      <c r="D38" s="19"/>
      <c r="E38" s="19"/>
      <c r="F38" s="19"/>
      <c r="G38" s="19"/>
      <c r="H38" s="19"/>
      <c r="I38" s="45"/>
      <c r="J38" s="37"/>
      <c r="K38" s="37">
        <v>32</v>
      </c>
      <c r="L38" s="37">
        <f ca="1">月次返済表!U389/10000</f>
        <v>501.26440483406719</v>
      </c>
      <c r="M38" s="37">
        <f ca="1">月次返済表!M389/10000</f>
        <v>0</v>
      </c>
      <c r="O38" s="43" t="str">
        <f>TEXT((月次返済表!A38-1)/12,"0.0")</f>
        <v>2.7</v>
      </c>
      <c r="P38" s="44">
        <f ca="1">月次返済表!S38</f>
        <v>30326.184187845938</v>
      </c>
      <c r="Q38" s="44">
        <f ca="1">月次返済表!T38</f>
        <v>70278.217466793663</v>
      </c>
      <c r="R38" s="44">
        <f ca="1">月次返済表!H38</f>
        <v>30326.184187845938</v>
      </c>
      <c r="S38" s="44">
        <f ca="1">月次返済表!I38</f>
        <v>70278.217466793663</v>
      </c>
      <c r="T38" s="44">
        <f ca="1">月次返済表!R38</f>
        <v>100604.4016546396</v>
      </c>
      <c r="U38" s="44">
        <f ca="1">月次返済表!G38</f>
        <v>100604.4016546396</v>
      </c>
      <c r="V38" s="44"/>
      <c r="W38" s="44">
        <f ca="1">$V$6-T38</f>
        <v>49629.037340523239</v>
      </c>
      <c r="X38" s="44">
        <f ca="1">$V$6-U38</f>
        <v>49629.037340523239</v>
      </c>
    </row>
    <row r="39" spans="1:24" ht="24" customHeight="1">
      <c r="A39" s="3"/>
      <c r="B39" s="3"/>
      <c r="C39" s="3"/>
      <c r="D39" s="3"/>
      <c r="E39" s="3"/>
      <c r="F39" s="3"/>
      <c r="G39" s="3"/>
      <c r="H39" s="3"/>
      <c r="I39" s="37"/>
      <c r="J39" s="37"/>
      <c r="K39" s="37">
        <v>35</v>
      </c>
      <c r="L39" s="37">
        <f ca="1">月次返済表!U425/10000</f>
        <v>0</v>
      </c>
      <c r="M39" s="37">
        <f ca="1">月次返済表!M425/10000</f>
        <v>0</v>
      </c>
      <c r="O39" s="43" t="str">
        <f>TEXT((月次返済表!A41-1)/12,"0.0")</f>
        <v>2.9</v>
      </c>
      <c r="P39" s="44">
        <f ca="1">月次返済表!S41</f>
        <v>30130.981683354214</v>
      </c>
      <c r="Q39" s="44">
        <f ca="1">月次返済表!T41</f>
        <v>70473.419971285388</v>
      </c>
      <c r="R39" s="44">
        <f ca="1">月次返済表!H41</f>
        <v>30130.981683354214</v>
      </c>
      <c r="S39" s="44">
        <f ca="1">月次返済表!I41</f>
        <v>70473.419971285388</v>
      </c>
      <c r="T39" s="44">
        <f ca="1">月次返済表!R41</f>
        <v>100604.4016546396</v>
      </c>
      <c r="U39" s="44">
        <f ca="1">月次返済表!G41</f>
        <v>100604.4016546396</v>
      </c>
      <c r="V39" s="44"/>
      <c r="W39" s="44">
        <f ca="1">$V$6-T39</f>
        <v>49629.037340523239</v>
      </c>
      <c r="X39" s="44">
        <f ca="1">$V$6-U39</f>
        <v>49629.037340523239</v>
      </c>
    </row>
    <row r="40" spans="1:24" ht="24" customHeight="1">
      <c r="A40" s="3"/>
      <c r="B40" s="3"/>
      <c r="C40" s="3"/>
      <c r="D40" s="3"/>
      <c r="E40" s="3"/>
      <c r="F40" s="3"/>
      <c r="G40" s="3"/>
      <c r="H40" s="3"/>
      <c r="I40" s="37"/>
      <c r="J40" s="37"/>
      <c r="K40" s="37">
        <v>36</v>
      </c>
      <c r="L40" s="37">
        <f ca="1">月次返済表!U437/10000</f>
        <v>0</v>
      </c>
      <c r="M40" s="37">
        <f ca="1">月次返済表!M437/10000</f>
        <v>0</v>
      </c>
      <c r="O40" s="43" t="str">
        <f>TEXT((月次返済表!A42-1)/12,"0.0")</f>
        <v>3.0</v>
      </c>
      <c r="P40" s="44">
        <f ca="1">月次返済表!S42</f>
        <v>30065.793769880776</v>
      </c>
      <c r="Q40" s="44">
        <f ca="1">月次返済表!T42</f>
        <v>70538.607884758821</v>
      </c>
      <c r="R40" s="44">
        <f ca="1">月次返済表!H42</f>
        <v>30065.793769880776</v>
      </c>
      <c r="S40" s="44">
        <f ca="1">月次返済表!I42</f>
        <v>70538.607884758821</v>
      </c>
      <c r="T40" s="44">
        <f ca="1">月次返済表!R42</f>
        <v>100604.4016546396</v>
      </c>
      <c r="U40" s="44">
        <f ca="1">月次返済表!G42</f>
        <v>100604.4016546396</v>
      </c>
      <c r="V40" s="44"/>
      <c r="W40" s="44">
        <f ca="1">$V$6-T40</f>
        <v>49629.037340523239</v>
      </c>
      <c r="X40" s="44">
        <f ca="1">$V$6-U40</f>
        <v>49629.037340523239</v>
      </c>
    </row>
    <row r="41" spans="1:24" ht="24" customHeight="1">
      <c r="A41" s="3"/>
      <c r="B41" s="3"/>
      <c r="C41" s="3"/>
      <c r="D41" s="3"/>
      <c r="E41" s="3"/>
      <c r="F41" s="3"/>
      <c r="G41" s="3"/>
      <c r="H41" s="3"/>
      <c r="I41" s="37"/>
      <c r="J41" s="37"/>
      <c r="K41" s="37">
        <v>37</v>
      </c>
      <c r="L41" s="37">
        <f ca="1">月次返済表!U449/10000</f>
        <v>0</v>
      </c>
      <c r="M41" s="37">
        <f ca="1">月次返済表!M449/10000</f>
        <v>0</v>
      </c>
      <c r="O41" s="43" t="str">
        <f>TEXT((月次返済表!A43-1)/12,"0.0")</f>
        <v>3.1</v>
      </c>
      <c r="P41" s="44">
        <f ca="1">月次返済表!S43</f>
        <v>30000.545557587375</v>
      </c>
      <c r="Q41" s="44">
        <f ca="1">月次返済表!T43</f>
        <v>70603.856097052223</v>
      </c>
      <c r="R41" s="44">
        <f ca="1">月次返済表!H43</f>
        <v>30000.545557587375</v>
      </c>
      <c r="S41" s="44">
        <f ca="1">月次返済表!I43</f>
        <v>70603.856097052223</v>
      </c>
      <c r="T41" s="44">
        <f ca="1">月次返済表!R43</f>
        <v>100604.4016546396</v>
      </c>
      <c r="U41" s="44">
        <f ca="1">月次返済表!G43</f>
        <v>100604.4016546396</v>
      </c>
      <c r="V41" s="44"/>
      <c r="W41" s="44">
        <f ca="1">$V$6-T41</f>
        <v>49629.037340523239</v>
      </c>
      <c r="X41" s="44">
        <f ca="1">$V$6-U41</f>
        <v>49629.037340523239</v>
      </c>
    </row>
    <row r="42" spans="1:24" ht="24" customHeight="1">
      <c r="A42" s="3"/>
      <c r="B42" s="3"/>
      <c r="C42" s="3"/>
      <c r="D42" s="3"/>
      <c r="E42" s="3"/>
      <c r="F42" s="3"/>
      <c r="G42" s="3"/>
      <c r="H42" s="3"/>
      <c r="I42" s="37"/>
      <c r="J42" s="37"/>
      <c r="K42" s="37">
        <v>38</v>
      </c>
      <c r="L42" s="37">
        <f ca="1">月次返済表!U461/10000</f>
        <v>0</v>
      </c>
      <c r="M42" s="37">
        <f ca="1">月次返済表!M461/10000</f>
        <v>0</v>
      </c>
      <c r="O42" s="43" t="str">
        <f>TEXT((月次返済表!A44-1)/12,"0.0")</f>
        <v>3.2</v>
      </c>
      <c r="P42" s="44">
        <f ca="1">月次返済表!S44</f>
        <v>29935.236990697598</v>
      </c>
      <c r="Q42" s="44">
        <f ca="1">月次返済表!T44</f>
        <v>70669.164663942007</v>
      </c>
      <c r="R42" s="44">
        <f ca="1">月次返済表!H44</f>
        <v>29935.236990697598</v>
      </c>
      <c r="S42" s="44">
        <f ca="1">月次返済表!I44</f>
        <v>70669.164663942007</v>
      </c>
      <c r="T42" s="44">
        <f ca="1">月次返済表!R44</f>
        <v>100604.4016546396</v>
      </c>
      <c r="U42" s="44">
        <f ca="1">月次返済表!G44</f>
        <v>100604.4016546396</v>
      </c>
      <c r="V42" s="44"/>
      <c r="W42" s="44">
        <f ca="1">$V$6-T42</f>
        <v>49629.037340523239</v>
      </c>
      <c r="X42" s="44">
        <f ca="1">$V$6-U42</f>
        <v>49629.037340523239</v>
      </c>
    </row>
    <row r="43" spans="1:24" ht="24" customHeight="1">
      <c r="A43" s="3"/>
      <c r="B43" s="3"/>
      <c r="C43" s="3"/>
      <c r="D43" s="3"/>
      <c r="E43" s="3"/>
      <c r="F43" s="3"/>
      <c r="G43" s="3"/>
      <c r="H43" s="3"/>
      <c r="I43" s="37"/>
      <c r="J43" s="37"/>
      <c r="K43" s="37">
        <v>39</v>
      </c>
      <c r="L43" s="37">
        <f ca="1">月次返済表!U473/10000</f>
        <v>0</v>
      </c>
      <c r="M43" s="37">
        <f ca="1">月次返済表!M473/10000</f>
        <v>0</v>
      </c>
      <c r="O43" s="43" t="str">
        <f>TEXT((月次返済表!A45-1)/12,"0.0")</f>
        <v>3.3</v>
      </c>
      <c r="P43" s="44">
        <f ca="1">月次返済表!S45</f>
        <v>29869.868013383457</v>
      </c>
      <c r="Q43" s="44">
        <f ca="1">月次返済表!T45</f>
        <v>70734.533641256145</v>
      </c>
      <c r="R43" s="44">
        <f ca="1">月次返済表!H45</f>
        <v>29869.868013383457</v>
      </c>
      <c r="S43" s="44">
        <f ca="1">月次返済表!I45</f>
        <v>70734.533641256145</v>
      </c>
      <c r="T43" s="44">
        <f ca="1">月次返済表!R45</f>
        <v>100604.4016546396</v>
      </c>
      <c r="U43" s="44">
        <f ca="1">月次返済表!G45</f>
        <v>100604.4016546396</v>
      </c>
      <c r="V43" s="44"/>
      <c r="W43" s="44">
        <f ca="1">$V$6-T43</f>
        <v>49629.037340523239</v>
      </c>
      <c r="X43" s="44">
        <f ca="1">$V$6-U43</f>
        <v>49629.037340523239</v>
      </c>
    </row>
    <row r="44" spans="1:24" ht="24" customHeight="1">
      <c r="A44" s="3"/>
      <c r="B44" s="3"/>
      <c r="C44" s="3"/>
      <c r="D44" s="3"/>
      <c r="E44" s="3"/>
      <c r="F44" s="3"/>
      <c r="G44" s="3"/>
      <c r="H44" s="3"/>
      <c r="I44" s="37"/>
      <c r="J44" s="37"/>
      <c r="K44" s="37">
        <v>40</v>
      </c>
      <c r="L44" s="37">
        <f ca="1">月次返済表!U485/10000</f>
        <v>0</v>
      </c>
      <c r="M44" s="37">
        <f ca="1">月次返済表!M485/10000</f>
        <v>0</v>
      </c>
      <c r="O44" s="43" t="str">
        <f>TEXT((月次返済表!A46-1)/12,"0.0")</f>
        <v>3.3</v>
      </c>
      <c r="P44" s="44">
        <f ca="1">月次返済表!S46</f>
        <v>29804.438569765291</v>
      </c>
      <c r="Q44" s="44">
        <f ca="1">月次返済表!T46</f>
        <v>70799.963084874311</v>
      </c>
      <c r="R44" s="44">
        <f ca="1">月次返済表!H46</f>
        <v>29804.438569765291</v>
      </c>
      <c r="S44" s="44">
        <f ca="1">月次返済表!I46</f>
        <v>70799.963084874311</v>
      </c>
      <c r="T44" s="44">
        <f ca="1">月次返済表!R46</f>
        <v>100604.4016546396</v>
      </c>
      <c r="U44" s="44">
        <f ca="1">月次返済表!G46</f>
        <v>100604.4016546396</v>
      </c>
      <c r="V44" s="44"/>
      <c r="W44" s="44">
        <f ca="1">$V$6-T44</f>
        <v>49629.037340523239</v>
      </c>
      <c r="X44" s="44">
        <f ca="1">$V$6-U44</f>
        <v>49629.037340523239</v>
      </c>
    </row>
    <row r="45" spans="1:24" ht="24" customHeight="1">
      <c r="A45" s="3"/>
      <c r="B45" s="3"/>
      <c r="C45" s="3"/>
      <c r="D45" s="3"/>
      <c r="E45" s="3"/>
      <c r="F45" s="3"/>
      <c r="G45" s="3"/>
      <c r="H45" s="3"/>
      <c r="I45" s="37"/>
      <c r="J45" s="37"/>
      <c r="K45" s="37">
        <v>41</v>
      </c>
      <c r="L45" s="37">
        <f ca="1">月次返済表!U497/10000</f>
        <v>0</v>
      </c>
      <c r="M45" s="37">
        <f ca="1">月次返済表!M497/10000</f>
        <v>0</v>
      </c>
      <c r="O45" s="43" t="str">
        <f>TEXT((月次返済表!A47-1)/12,"0.0")</f>
        <v>3.4</v>
      </c>
      <c r="P45" s="44">
        <f ca="1">月次返済表!S47</f>
        <v>29738.948603911787</v>
      </c>
      <c r="Q45" s="44">
        <f ca="1">月次返済表!T47</f>
        <v>70865.45305072781</v>
      </c>
      <c r="R45" s="44">
        <f ca="1">月次返済表!H47</f>
        <v>29738.948603911787</v>
      </c>
      <c r="S45" s="44">
        <f ca="1">月次返済表!I47</f>
        <v>70865.45305072781</v>
      </c>
      <c r="T45" s="44">
        <f ca="1">月次返済表!R47</f>
        <v>100604.4016546396</v>
      </c>
      <c r="U45" s="44">
        <f ca="1">月次返済表!G47</f>
        <v>100604.4016546396</v>
      </c>
      <c r="V45" s="44"/>
      <c r="W45" s="44">
        <f ca="1">$V$6-T45</f>
        <v>49629.037340523239</v>
      </c>
      <c r="X45" s="44">
        <f ca="1">$V$6-U45</f>
        <v>49629.037340523239</v>
      </c>
    </row>
    <row r="46" spans="1:24" ht="24" customHeight="1">
      <c r="A46" s="3"/>
      <c r="B46" s="3"/>
      <c r="C46" s="3"/>
      <c r="D46" s="3"/>
      <c r="E46" s="3"/>
      <c r="F46" s="3"/>
      <c r="G46" s="3"/>
      <c r="H46" s="3"/>
      <c r="I46" s="37"/>
      <c r="J46" s="37"/>
      <c r="K46" s="37">
        <v>42</v>
      </c>
      <c r="L46" s="37">
        <f ca="1">月次返済表!U509/10000</f>
        <v>0</v>
      </c>
      <c r="M46" s="37">
        <f ca="1">月次返済表!M509/10000</f>
        <v>0</v>
      </c>
      <c r="O46" s="43" t="str">
        <f>TEXT((月次返済表!A48-1)/12,"0.0")</f>
        <v>3.5</v>
      </c>
      <c r="P46" s="44">
        <f ca="1">月次返済表!S48</f>
        <v>29673.398059839863</v>
      </c>
      <c r="Q46" s="44">
        <f ca="1">月次返済表!T48</f>
        <v>70931.003594799738</v>
      </c>
      <c r="R46" s="44">
        <f ca="1">月次返済表!H48</f>
        <v>29673.398059839863</v>
      </c>
      <c r="S46" s="44">
        <f ca="1">月次返済表!I48</f>
        <v>70931.003594799738</v>
      </c>
      <c r="T46" s="44">
        <f ca="1">月次返済表!R48</f>
        <v>100604.4016546396</v>
      </c>
      <c r="U46" s="44">
        <f ca="1">月次返済表!G48</f>
        <v>100604.4016546396</v>
      </c>
      <c r="V46" s="44"/>
      <c r="W46" s="44">
        <f ca="1">$V$6-T46</f>
        <v>49629.037340523239</v>
      </c>
      <c r="X46" s="44">
        <f ca="1">$V$6-U46</f>
        <v>49629.037340523239</v>
      </c>
    </row>
    <row r="47" spans="1:24" ht="24" customHeight="1">
      <c r="A47" s="3"/>
      <c r="B47" s="3"/>
      <c r="C47" s="3"/>
      <c r="D47" s="3"/>
      <c r="E47" s="3"/>
      <c r="F47" s="3"/>
      <c r="G47" s="3"/>
      <c r="H47" s="3"/>
      <c r="I47" s="37"/>
      <c r="J47" s="37"/>
      <c r="K47" s="37">
        <v>43</v>
      </c>
      <c r="L47" s="37">
        <f ca="1">月次返済表!U521/10000</f>
        <v>0</v>
      </c>
      <c r="M47" s="37">
        <f ca="1">月次返済表!M521/10000</f>
        <v>0</v>
      </c>
      <c r="O47" s="43" t="str">
        <f>TEXT((月次返済表!A49-1)/12,"0.0")</f>
        <v>3.6</v>
      </c>
      <c r="P47" s="44">
        <f ca="1">月次返済表!S49</f>
        <v>29607.786881514668</v>
      </c>
      <c r="Q47" s="44">
        <f ca="1">月次返済表!T49</f>
        <v>70996.614773124937</v>
      </c>
      <c r="R47" s="44">
        <f ca="1">月次返済表!H49</f>
        <v>29607.786881514668</v>
      </c>
      <c r="S47" s="44">
        <f ca="1">月次返済表!I49</f>
        <v>70996.614773124937</v>
      </c>
      <c r="T47" s="44">
        <f ca="1">月次返済表!R49</f>
        <v>100604.4016546396</v>
      </c>
      <c r="U47" s="44">
        <f ca="1">月次返済表!G49</f>
        <v>100604.4016546396</v>
      </c>
      <c r="V47" s="44"/>
      <c r="W47" s="44">
        <f ca="1">$V$6-T47</f>
        <v>49629.037340523239</v>
      </c>
      <c r="X47" s="44">
        <f ca="1">$V$6-U47</f>
        <v>49629.037340523239</v>
      </c>
    </row>
    <row r="48" spans="1:24" ht="24" customHeight="1">
      <c r="A48" s="3"/>
      <c r="B48" s="3"/>
      <c r="C48" s="3"/>
      <c r="D48" s="3"/>
      <c r="E48" s="3"/>
      <c r="F48" s="3"/>
      <c r="G48" s="3"/>
      <c r="H48" s="3"/>
      <c r="I48" s="37"/>
      <c r="J48" s="37"/>
      <c r="K48" s="37">
        <v>44</v>
      </c>
      <c r="L48" s="37">
        <f ca="1">月次返済表!U533/10000</f>
        <v>0</v>
      </c>
      <c r="M48" s="37">
        <f ca="1">月次返済表!M533/10000</f>
        <v>0</v>
      </c>
      <c r="O48" s="43" t="str">
        <f>TEXT((月次返済表!A50-1)/12,"0.0")</f>
        <v>3.7</v>
      </c>
      <c r="P48" s="44">
        <f ca="1">月次返済表!S50</f>
        <v>29542.115012849532</v>
      </c>
      <c r="Q48" s="44">
        <f ca="1">月次返済表!T50</f>
        <v>71062.286641790066</v>
      </c>
      <c r="R48" s="44">
        <f ca="1">月次返済表!H50</f>
        <v>29542.115012849532</v>
      </c>
      <c r="S48" s="44">
        <f ca="1">月次返済表!I50</f>
        <v>71062.286641790066</v>
      </c>
      <c r="T48" s="44">
        <f ca="1">月次返済表!R50</f>
        <v>100604.4016546396</v>
      </c>
      <c r="U48" s="44">
        <f ca="1">月次返済表!G50</f>
        <v>100604.4016546396</v>
      </c>
      <c r="V48" s="44"/>
      <c r="W48" s="44">
        <f ca="1">$V$6-T48</f>
        <v>49629.037340523239</v>
      </c>
      <c r="X48" s="44">
        <f ca="1">$V$6-U48</f>
        <v>49629.037340523239</v>
      </c>
    </row>
    <row r="49" spans="1:24" ht="24" customHeight="1">
      <c r="A49" s="3"/>
      <c r="B49" s="3"/>
      <c r="C49" s="3"/>
      <c r="D49" s="3"/>
      <c r="E49" s="3"/>
      <c r="F49" s="3"/>
      <c r="G49" s="3"/>
      <c r="H49" s="3"/>
      <c r="I49" s="37"/>
      <c r="J49" s="37"/>
      <c r="K49" s="37">
        <v>45</v>
      </c>
      <c r="L49" s="37">
        <f ca="1">月次返済表!U545/10000</f>
        <v>0</v>
      </c>
      <c r="M49" s="37">
        <f ca="1">月次返済表!M545/10000</f>
        <v>0</v>
      </c>
      <c r="O49" s="43" t="str">
        <f>TEXT((月次返済表!A51-1)/12,"0.0")</f>
        <v>3.8</v>
      </c>
      <c r="P49" s="44">
        <f ca="1">月次返済表!S51</f>
        <v>29476.382397705875</v>
      </c>
      <c r="Q49" s="44">
        <f ca="1">月次返済表!T51</f>
        <v>71128.019256933723</v>
      </c>
      <c r="R49" s="44">
        <f ca="1">月次返済表!H51</f>
        <v>29476.382397705875</v>
      </c>
      <c r="S49" s="44">
        <f ca="1">月次返済表!I51</f>
        <v>71128.019256933723</v>
      </c>
      <c r="T49" s="44">
        <f ca="1">月次返済表!R51</f>
        <v>100604.4016546396</v>
      </c>
      <c r="U49" s="44">
        <f ca="1">月次返済表!G51</f>
        <v>100604.4016546396</v>
      </c>
      <c r="V49" s="44"/>
      <c r="W49" s="44">
        <f ca="1">$V$6-T49</f>
        <v>49629.037340523239</v>
      </c>
      <c r="X49" s="44">
        <f ca="1">$V$6-U49</f>
        <v>49629.037340523239</v>
      </c>
    </row>
    <row r="50" spans="1:24" ht="24" customHeight="1">
      <c r="A50" s="3"/>
      <c r="B50" s="3"/>
      <c r="C50" s="3"/>
      <c r="D50" s="3"/>
      <c r="E50" s="3"/>
      <c r="F50" s="3"/>
      <c r="G50" s="3"/>
      <c r="H50" s="3"/>
      <c r="I50" s="37"/>
      <c r="J50" s="37"/>
      <c r="K50" s="37">
        <v>46</v>
      </c>
      <c r="L50" s="37">
        <f ca="1">月次返済表!U557/10000</f>
        <v>0</v>
      </c>
      <c r="M50" s="37">
        <f ca="1">月次返済表!M557/10000</f>
        <v>0</v>
      </c>
      <c r="O50" s="43" t="str">
        <f>TEXT((月次返済表!A52-1)/12,"0.0")</f>
        <v>3.8</v>
      </c>
      <c r="P50" s="44">
        <f ca="1">月次返済表!S52</f>
        <v>29410.588979893208</v>
      </c>
      <c r="Q50" s="44">
        <f ca="1">月次返済表!T52</f>
        <v>71193.812674746398</v>
      </c>
      <c r="R50" s="44">
        <f ca="1">月次返済表!H52</f>
        <v>29410.588979893208</v>
      </c>
      <c r="S50" s="44">
        <f ca="1">月次返済表!I52</f>
        <v>71193.812674746398</v>
      </c>
      <c r="T50" s="44">
        <f ca="1">月次返済表!R52</f>
        <v>100604.4016546396</v>
      </c>
      <c r="U50" s="44">
        <f ca="1">月次返済表!G52</f>
        <v>100604.4016546396</v>
      </c>
      <c r="V50" s="44"/>
      <c r="W50" s="44">
        <f ca="1">$V$6-T50</f>
        <v>49629.037340523239</v>
      </c>
      <c r="X50" s="44">
        <f ca="1">$V$6-U50</f>
        <v>49629.037340523239</v>
      </c>
    </row>
    <row r="51" spans="1:24" ht="24" customHeight="1">
      <c r="A51" s="3"/>
      <c r="B51" s="3"/>
      <c r="C51" s="3"/>
      <c r="D51" s="3"/>
      <c r="E51" s="3"/>
      <c r="F51" s="3"/>
      <c r="G51" s="3"/>
      <c r="H51" s="3"/>
      <c r="I51" s="37"/>
      <c r="J51" s="37"/>
      <c r="K51" s="37">
        <v>47</v>
      </c>
      <c r="L51" s="37">
        <f ca="1">月次返済表!U569/10000</f>
        <v>0</v>
      </c>
      <c r="M51" s="37">
        <f ca="1">月次返済表!M569/10000</f>
        <v>0</v>
      </c>
      <c r="O51" s="43" t="str">
        <f>TEXT((月次返済表!A53-1)/12,"0.0")</f>
        <v>3.9</v>
      </c>
      <c r="P51" s="44">
        <f ca="1">月次返済表!S53</f>
        <v>29344.73470316907</v>
      </c>
      <c r="Q51" s="44">
        <f ca="1">月次返済表!T53</f>
        <v>71259.666951470528</v>
      </c>
      <c r="R51" s="44">
        <f ca="1">月次返済表!H53</f>
        <v>29344.73470316907</v>
      </c>
      <c r="S51" s="44">
        <f ca="1">月次返済表!I53</f>
        <v>71259.666951470528</v>
      </c>
      <c r="T51" s="44">
        <f ca="1">月次返済表!R53</f>
        <v>100604.4016546396</v>
      </c>
      <c r="U51" s="44">
        <f ca="1">月次返済表!G53</f>
        <v>100604.4016546396</v>
      </c>
      <c r="V51" s="44"/>
      <c r="W51" s="44">
        <f ca="1">$V$6-T51</f>
        <v>49629.037340523239</v>
      </c>
      <c r="X51" s="44">
        <f ca="1">$V$6-U51</f>
        <v>49629.037340523239</v>
      </c>
    </row>
    <row r="52" spans="1:24" ht="24" customHeight="1">
      <c r="A52" s="3"/>
      <c r="B52" s="3"/>
      <c r="C52" s="3"/>
      <c r="D52" s="3"/>
      <c r="E52" s="3"/>
      <c r="F52" s="3"/>
      <c r="G52" s="3"/>
      <c r="H52" s="3"/>
      <c r="I52" s="37"/>
      <c r="J52" s="37"/>
      <c r="K52" s="37">
        <v>48</v>
      </c>
      <c r="L52" s="37">
        <f ca="1">月次返済表!U581/10000</f>
        <v>0</v>
      </c>
      <c r="M52" s="37">
        <f ca="1">月次返済表!M581/10000</f>
        <v>0</v>
      </c>
      <c r="O52" s="43" t="str">
        <f>TEXT((月次返済表!A54-1)/12,"0.0")</f>
        <v>4.0</v>
      </c>
      <c r="P52" s="44">
        <f ca="1">月次返済表!S54</f>
        <v>29278.819511238962</v>
      </c>
      <c r="Q52" s="44">
        <f ca="1">月次返済表!T54</f>
        <v>71325.582143400636</v>
      </c>
      <c r="R52" s="44">
        <f ca="1">月次返済表!H54</f>
        <v>29278.819511238962</v>
      </c>
      <c r="S52" s="44">
        <f ca="1">月次返済表!I54</f>
        <v>71325.582143400636</v>
      </c>
      <c r="T52" s="44">
        <f ca="1">月次返済表!R54</f>
        <v>100604.4016546396</v>
      </c>
      <c r="U52" s="44">
        <f ca="1">月次返済表!G54</f>
        <v>100604.4016546396</v>
      </c>
      <c r="V52" s="44"/>
      <c r="W52" s="44">
        <f ca="1">$V$6-T52</f>
        <v>49629.037340523239</v>
      </c>
      <c r="X52" s="44">
        <f ca="1">$V$6-U52</f>
        <v>49629.037340523239</v>
      </c>
    </row>
    <row r="53" spans="1:24" ht="24" customHeight="1">
      <c r="A53" s="3"/>
      <c r="B53" s="3"/>
      <c r="C53" s="3"/>
      <c r="D53" s="3"/>
      <c r="E53" s="3"/>
      <c r="F53" s="3"/>
      <c r="G53" s="3"/>
      <c r="H53" s="3"/>
      <c r="I53" s="37"/>
      <c r="J53" s="37"/>
      <c r="K53" s="37">
        <v>49</v>
      </c>
      <c r="L53" s="37">
        <f ca="1">月次返済表!U593/10000</f>
        <v>0</v>
      </c>
      <c r="M53" s="37">
        <f ca="1">月次返済表!M593/10000</f>
        <v>0</v>
      </c>
      <c r="O53" s="43" t="str">
        <f>TEXT((月次返済表!A55-1)/12,"0.0")</f>
        <v>4.1</v>
      </c>
      <c r="P53" s="44">
        <f ca="1">月次返済表!S55</f>
        <v>29212.843347756312</v>
      </c>
      <c r="Q53" s="44">
        <f ca="1">月次返済表!T55</f>
        <v>71391.558306883293</v>
      </c>
      <c r="R53" s="44">
        <f ca="1">月次返済表!H55</f>
        <v>29212.843347756312</v>
      </c>
      <c r="S53" s="44">
        <f ca="1">月次返済表!I55</f>
        <v>71391.558306883293</v>
      </c>
      <c r="T53" s="44">
        <f ca="1">月次返済表!R55</f>
        <v>100604.4016546396</v>
      </c>
      <c r="U53" s="44">
        <f ca="1">月次返済表!G55</f>
        <v>100604.4016546396</v>
      </c>
      <c r="V53" s="44"/>
      <c r="W53" s="44">
        <f ca="1">$V$6-T53</f>
        <v>49629.037340523239</v>
      </c>
      <c r="X53" s="44">
        <f ca="1">$V$6-U53</f>
        <v>49629.037340523239</v>
      </c>
    </row>
    <row r="54" spans="1:24" ht="24" customHeight="1">
      <c r="A54" s="3"/>
      <c r="B54" s="3"/>
      <c r="C54" s="3"/>
      <c r="D54" s="3"/>
      <c r="E54" s="3"/>
      <c r="F54" s="3"/>
      <c r="G54" s="3"/>
      <c r="H54" s="3"/>
      <c r="I54" s="37"/>
      <c r="J54" s="37"/>
      <c r="K54" s="37">
        <v>50</v>
      </c>
      <c r="L54" s="37">
        <f ca="1">月次返済表!U605/10000</f>
        <v>0</v>
      </c>
      <c r="M54" s="37">
        <f ca="1">月次返済表!M605/10000</f>
        <v>0</v>
      </c>
      <c r="O54" s="43" t="str">
        <f>TEXT((月次返済表!A56-1)/12,"0.0")</f>
        <v>4.2</v>
      </c>
      <c r="P54" s="44">
        <f ca="1">月次返済表!S56</f>
        <v>29146.806156322447</v>
      </c>
      <c r="Q54" s="44">
        <f ca="1">月次返済表!T56</f>
        <v>71457.595498317154</v>
      </c>
      <c r="R54" s="44">
        <f ca="1">月次返済表!H56</f>
        <v>29146.806156322447</v>
      </c>
      <c r="S54" s="44">
        <f ca="1">月次返済表!I56</f>
        <v>71457.595498317154</v>
      </c>
      <c r="T54" s="44">
        <f ca="1">月次返済表!R56</f>
        <v>100604.4016546396</v>
      </c>
      <c r="U54" s="44">
        <f ca="1">月次返済表!G56</f>
        <v>100604.4016546396</v>
      </c>
      <c r="V54" s="44"/>
      <c r="W54" s="44">
        <f ca="1">$V$6-T54</f>
        <v>49629.037340523239</v>
      </c>
      <c r="X54" s="44">
        <f ca="1">$V$6-U54</f>
        <v>49629.037340523239</v>
      </c>
    </row>
    <row r="55" spans="1:24" ht="28.05" customHeight="1">
      <c r="A55" s="19" t="s">
        <v>27</v>
      </c>
      <c r="B55" s="19"/>
      <c r="C55" s="19"/>
      <c r="D55" s="19"/>
      <c r="E55" s="19"/>
      <c r="F55" s="19"/>
      <c r="G55" s="19"/>
      <c r="H55" s="19"/>
      <c r="I55" s="45"/>
      <c r="J55" s="37"/>
      <c r="K55" s="37"/>
      <c r="L55" s="37"/>
      <c r="M55" s="37"/>
      <c r="O55" s="43" t="str">
        <f>TEXT((月次返済表!A57-1)/12,"0.0")</f>
        <v>4.3</v>
      </c>
      <c r="P55" s="44">
        <f ca="1">月次返済表!S57</f>
        <v>29080.707880486501</v>
      </c>
      <c r="Q55" s="44">
        <f ca="1">月次返済表!T57</f>
        <v>71523.6937741531</v>
      </c>
      <c r="R55" s="44">
        <f ca="1">月次返済表!H57</f>
        <v>29080.707880486501</v>
      </c>
      <c r="S55" s="44">
        <f ca="1">月次返済表!I57</f>
        <v>71523.6937741531</v>
      </c>
      <c r="T55" s="44">
        <f ca="1">月次返済表!R57</f>
        <v>100604.4016546396</v>
      </c>
      <c r="U55" s="44">
        <f ca="1">月次返済表!G57</f>
        <v>100604.4016546396</v>
      </c>
      <c r="V55" s="44"/>
      <c r="W55" s="44">
        <f ca="1">$V$6-T55</f>
        <v>49629.037340523239</v>
      </c>
      <c r="X55" s="44">
        <f ca="1">$V$6-U55</f>
        <v>49629.037340523239</v>
      </c>
    </row>
    <row r="56" spans="1:24" ht="25.05" customHeight="1">
      <c r="A56" s="3"/>
      <c r="B56" s="3"/>
      <c r="C56" s="3"/>
      <c r="D56" s="3"/>
      <c r="E56" s="3"/>
      <c r="F56" s="3"/>
      <c r="G56" s="3"/>
      <c r="H56" s="3"/>
      <c r="I56" s="37"/>
      <c r="J56" s="37"/>
      <c r="K56" s="37"/>
      <c r="L56" s="37"/>
      <c r="M56" s="37"/>
      <c r="O56" s="43" t="str">
        <f>TEXT((月次返済表!A58-1)/12,"0.0")</f>
        <v>4.3</v>
      </c>
      <c r="P56" s="44">
        <f ca="1">月次返済表!S58</f>
        <v>29014.54846374541</v>
      </c>
      <c r="Q56" s="44">
        <f ca="1">月次返済表!T58</f>
        <v>71589.853190894195</v>
      </c>
      <c r="R56" s="44">
        <f ca="1">月次返済表!H58</f>
        <v>29014.54846374541</v>
      </c>
      <c r="S56" s="44">
        <f ca="1">月次返済表!I58</f>
        <v>71589.853190894195</v>
      </c>
      <c r="T56" s="44">
        <f ca="1">月次返済表!R58</f>
        <v>100604.4016546396</v>
      </c>
      <c r="U56" s="44">
        <f ca="1">月次返済表!G58</f>
        <v>100604.4016546396</v>
      </c>
      <c r="V56" s="44"/>
      <c r="W56" s="44">
        <f ca="1">$V$6-T56</f>
        <v>49629.037340523239</v>
      </c>
      <c r="X56" s="44">
        <f ca="1">$V$6-U56</f>
        <v>49629.037340523239</v>
      </c>
    </row>
    <row r="57" spans="1:24" ht="24" customHeight="1">
      <c r="A57" s="3"/>
      <c r="B57" s="3"/>
      <c r="C57" s="3"/>
      <c r="D57" s="3"/>
      <c r="E57" s="3"/>
      <c r="F57" s="3"/>
      <c r="G57" s="3"/>
      <c r="H57" s="3"/>
      <c r="I57" s="37"/>
      <c r="J57" s="37"/>
      <c r="K57" s="37"/>
      <c r="L57" s="37"/>
      <c r="M57" s="37"/>
      <c r="O57" s="43" t="str">
        <f>TEXT((月次返済表!A59-1)/12,"0.0")</f>
        <v>4.4</v>
      </c>
      <c r="P57" s="44">
        <f ca="1">月次返済表!S59</f>
        <v>28948.327849543832</v>
      </c>
      <c r="Q57" s="44">
        <f ca="1">月次返済表!T59</f>
        <v>71656.073805095773</v>
      </c>
      <c r="R57" s="44">
        <f ca="1">月次返済表!H59</f>
        <v>28948.327849543832</v>
      </c>
      <c r="S57" s="44">
        <f ca="1">月次返済表!I59</f>
        <v>71656.073805095773</v>
      </c>
      <c r="T57" s="44">
        <f ca="1">月次返済表!R59</f>
        <v>100604.4016546396</v>
      </c>
      <c r="U57" s="44">
        <f ca="1">月次返済表!G59</f>
        <v>100604.4016546396</v>
      </c>
      <c r="V57" s="44"/>
      <c r="W57" s="44">
        <f ca="1">$V$6-T57</f>
        <v>49629.037340523239</v>
      </c>
      <c r="X57" s="44">
        <f ca="1">$V$6-U57</f>
        <v>49629.037340523239</v>
      </c>
    </row>
    <row r="58" spans="1:24" ht="24" customHeight="1">
      <c r="A58" s="3"/>
      <c r="B58" s="3"/>
      <c r="C58" s="3"/>
      <c r="D58" s="3"/>
      <c r="E58" s="3"/>
      <c r="F58" s="3"/>
      <c r="G58" s="3"/>
      <c r="H58" s="3"/>
      <c r="I58" s="37"/>
      <c r="J58" s="37"/>
      <c r="K58" s="37"/>
      <c r="L58" s="37"/>
      <c r="M58" s="37"/>
      <c r="O58" s="43" t="str">
        <f>TEXT((月次返済表!A60-1)/12,"0.0")</f>
        <v>4.5</v>
      </c>
      <c r="P58" s="44">
        <f ca="1">月次返済表!S60</f>
        <v>28882.045981274117</v>
      </c>
      <c r="Q58" s="44">
        <f ca="1">月次返済表!T60</f>
        <v>71722.355673365484</v>
      </c>
      <c r="R58" s="44">
        <f ca="1">月次返済表!H60</f>
        <v>28882.045981274117</v>
      </c>
      <c r="S58" s="44">
        <f ca="1">月次返済表!I60</f>
        <v>71722.355673365484</v>
      </c>
      <c r="T58" s="44">
        <f ca="1">月次返済表!R60</f>
        <v>100604.4016546396</v>
      </c>
      <c r="U58" s="44">
        <f ca="1">月次返済表!G60</f>
        <v>100604.4016546396</v>
      </c>
      <c r="V58" s="44"/>
      <c r="W58" s="44">
        <f ca="1">$V$6-T58</f>
        <v>49629.037340523239</v>
      </c>
      <c r="X58" s="44">
        <f ca="1">$V$6-U58</f>
        <v>49629.037340523239</v>
      </c>
    </row>
    <row r="59" spans="1:24" ht="24" customHeight="1">
      <c r="A59" s="3"/>
      <c r="B59" s="3"/>
      <c r="C59" s="3"/>
      <c r="D59" s="3"/>
      <c r="E59" s="3"/>
      <c r="F59" s="3"/>
      <c r="G59" s="3"/>
      <c r="H59" s="3"/>
      <c r="I59" s="37"/>
      <c r="J59" s="37"/>
      <c r="K59" s="37"/>
      <c r="L59" s="37"/>
      <c r="M59" s="37"/>
      <c r="O59" s="43" t="str">
        <f>TEXT((月次返済表!A61-1)/12,"0.0")</f>
        <v>4.6</v>
      </c>
      <c r="P59" s="44">
        <f ca="1">月次返済表!S61</f>
        <v>28815.702802276257</v>
      </c>
      <c r="Q59" s="44">
        <f ca="1">月次返済表!T61</f>
        <v>71788.698852363348</v>
      </c>
      <c r="R59" s="44">
        <f ca="1">月次返済表!H61</f>
        <v>28815.702802276257</v>
      </c>
      <c r="S59" s="44">
        <f ca="1">月次返済表!I61</f>
        <v>71788.698852363348</v>
      </c>
      <c r="T59" s="44">
        <f ca="1">月次返済表!R61</f>
        <v>100604.4016546396</v>
      </c>
      <c r="U59" s="44">
        <f ca="1">月次返済表!G61</f>
        <v>100604.4016546396</v>
      </c>
      <c r="V59" s="44"/>
      <c r="W59" s="44">
        <f ca="1">$V$6-T59</f>
        <v>49629.037340523239</v>
      </c>
      <c r="X59" s="44">
        <f ca="1">$V$6-U59</f>
        <v>49629.037340523239</v>
      </c>
    </row>
    <row r="60" spans="1:24" ht="24" customHeight="1">
      <c r="A60" s="3"/>
      <c r="B60" s="3"/>
      <c r="C60" s="3"/>
      <c r="D60" s="3"/>
      <c r="E60" s="3"/>
      <c r="F60" s="3"/>
      <c r="G60" s="3"/>
      <c r="H60" s="3"/>
      <c r="I60" s="37"/>
      <c r="J60" s="37"/>
      <c r="K60" s="37"/>
      <c r="L60" s="37"/>
      <c r="M60" s="37"/>
      <c r="O60" s="43" t="str">
        <f>TEXT((月次返済表!A62-1)/12,"0.0")</f>
        <v>4.7</v>
      </c>
      <c r="P60" s="44">
        <f ca="1">月次返済表!S62</f>
        <v>28749.298255837817</v>
      </c>
      <c r="Q60" s="44">
        <f ca="1">月次返済表!T62</f>
        <v>71855.103398801788</v>
      </c>
      <c r="R60" s="44">
        <f ca="1">月次返済表!H62</f>
        <v>28749.298255837817</v>
      </c>
      <c r="S60" s="44">
        <f ca="1">月次返済表!I62</f>
        <v>71855.103398801788</v>
      </c>
      <c r="T60" s="44">
        <f ca="1">月次返済表!R62</f>
        <v>100604.4016546396</v>
      </c>
      <c r="U60" s="44">
        <f ca="1">月次返済表!G62</f>
        <v>100604.4016546396</v>
      </c>
      <c r="V60" s="44"/>
      <c r="W60" s="44">
        <f ca="1">$V$6-T60</f>
        <v>49629.037340523239</v>
      </c>
      <c r="X60" s="44">
        <f ca="1">$V$6-U60</f>
        <v>49629.037340523239</v>
      </c>
    </row>
    <row r="61" spans="1:24" ht="24" customHeight="1">
      <c r="A61" s="3"/>
      <c r="B61" s="3"/>
      <c r="C61" s="3"/>
      <c r="D61" s="3"/>
      <c r="E61" s="3"/>
      <c r="F61" s="3"/>
      <c r="G61" s="3"/>
      <c r="H61" s="3"/>
      <c r="I61" s="37"/>
      <c r="J61" s="37"/>
      <c r="K61" s="37"/>
      <c r="L61" s="37"/>
      <c r="M61" s="37"/>
      <c r="O61" s="43" t="str">
        <f>TEXT((月次返済表!A63-1)/12,"0.0")</f>
        <v>4.8</v>
      </c>
      <c r="P61" s="44">
        <f ca="1">月次返済表!S63</f>
        <v>28682.832285193927</v>
      </c>
      <c r="Q61" s="44">
        <f ca="1">月次返済表!T63</f>
        <v>71921.569369445671</v>
      </c>
      <c r="R61" s="44">
        <f ca="1">月次返済表!H63</f>
        <v>28682.832285193927</v>
      </c>
      <c r="S61" s="44">
        <f ca="1">月次返済表!I63</f>
        <v>71921.569369445671</v>
      </c>
      <c r="T61" s="44">
        <f ca="1">月次返済表!R63</f>
        <v>100604.4016546396</v>
      </c>
      <c r="U61" s="44">
        <f ca="1">月次返済表!G63</f>
        <v>100604.4016546396</v>
      </c>
      <c r="V61" s="44"/>
      <c r="W61" s="44">
        <f ca="1">$V$6-T61</f>
        <v>49629.037340523239</v>
      </c>
      <c r="X61" s="44">
        <f ca="1">$V$6-U61</f>
        <v>49629.037340523239</v>
      </c>
    </row>
    <row r="62" spans="1:24" ht="24" customHeight="1">
      <c r="A62" s="3"/>
      <c r="B62" s="3"/>
      <c r="C62" s="3"/>
      <c r="D62" s="3"/>
      <c r="E62" s="3"/>
      <c r="F62" s="3"/>
      <c r="G62" s="3"/>
      <c r="H62" s="3"/>
      <c r="I62" s="37"/>
      <c r="J62" s="37"/>
      <c r="K62" s="37"/>
      <c r="L62" s="37"/>
      <c r="M62" s="37"/>
      <c r="O62" s="43" t="str">
        <f>TEXT((月次返済表!A64-1)/12,"0.0")</f>
        <v>4.8</v>
      </c>
      <c r="P62" s="44">
        <f ca="1">月次返済表!S64</f>
        <v>28616.304833527189</v>
      </c>
      <c r="Q62" s="44">
        <f ca="1">月次返済表!T64</f>
        <v>71988.096821112413</v>
      </c>
      <c r="R62" s="44">
        <f ca="1">月次返済表!H64</f>
        <v>28616.304833527189</v>
      </c>
      <c r="S62" s="44">
        <f ca="1">月次返済表!I64</f>
        <v>71988.096821112413</v>
      </c>
      <c r="T62" s="44">
        <f ca="1">月次返済表!R64</f>
        <v>100604.4016546396</v>
      </c>
      <c r="U62" s="44">
        <f ca="1">月次返済表!G64</f>
        <v>100604.4016546396</v>
      </c>
      <c r="V62" s="44"/>
      <c r="W62" s="44">
        <f ca="1">$V$6-T62</f>
        <v>49629.037340523239</v>
      </c>
      <c r="X62" s="44">
        <f ca="1">$V$6-U62</f>
        <v>49629.037340523239</v>
      </c>
    </row>
    <row r="63" spans="1:24" ht="24" customHeight="1">
      <c r="A63" s="3"/>
      <c r="B63" s="3"/>
      <c r="C63" s="3"/>
      <c r="D63" s="3"/>
      <c r="E63" s="3"/>
      <c r="F63" s="3"/>
      <c r="G63" s="3"/>
      <c r="H63" s="3"/>
      <c r="I63" s="37"/>
      <c r="J63" s="37"/>
      <c r="K63" s="37"/>
      <c r="L63" s="37"/>
      <c r="M63" s="37"/>
      <c r="O63" s="43" t="str">
        <f>TEXT((月次返済表!A65-1)/12,"0.0")</f>
        <v>4.9</v>
      </c>
      <c r="P63" s="44">
        <f ca="1">月次返済表!S65</f>
        <v>28549.71584396766</v>
      </c>
      <c r="Q63" s="44">
        <f ca="1">月次返済表!T65</f>
        <v>72054.685810671945</v>
      </c>
      <c r="R63" s="44">
        <f ca="1">月次返済表!H65</f>
        <v>28549.71584396766</v>
      </c>
      <c r="S63" s="44">
        <f ca="1">月次返済表!I65</f>
        <v>72054.685810671945</v>
      </c>
      <c r="T63" s="44">
        <f ca="1">月次返済表!R65</f>
        <v>100604.4016546396</v>
      </c>
      <c r="U63" s="44">
        <f ca="1">月次返済表!G65</f>
        <v>100604.4016546396</v>
      </c>
      <c r="V63" s="44"/>
      <c r="W63" s="44">
        <f ca="1">$V$6-T63</f>
        <v>49629.037340523239</v>
      </c>
      <c r="X63" s="44">
        <f ca="1">$V$6-U63</f>
        <v>49629.037340523239</v>
      </c>
    </row>
    <row r="64" spans="1:24">
      <c r="O64" s="43" t="str">
        <f>TEXT((月次返済表!A66-1)/12,"0.0")</f>
        <v>5.0</v>
      </c>
      <c r="P64" s="44">
        <f ca="1">月次返済表!S66</f>
        <v>64151.047881965751</v>
      </c>
      <c r="Q64" s="44">
        <f ca="1">月次返済表!T66</f>
        <v>57516.566674293288</v>
      </c>
      <c r="R64" s="44">
        <f ca="1">月次返済表!H66</f>
        <v>57901.047881965751</v>
      </c>
      <c r="S64" s="44">
        <f ca="1">月次返済表!I66</f>
        <v>61181.360436031136</v>
      </c>
      <c r="T64" s="44">
        <f ca="1">月次返済表!R66</f>
        <v>121667.61455625904</v>
      </c>
      <c r="U64" s="44">
        <f ca="1">月次返済表!G66</f>
        <v>119082.40831799689</v>
      </c>
      <c r="V64" s="44"/>
      <c r="W64" s="44">
        <f ca="1">$V$6-T64</f>
        <v>28565.824438903801</v>
      </c>
      <c r="X64" s="44">
        <f ca="1">$V$6-U64</f>
        <v>31151.030677165953</v>
      </c>
    </row>
    <row r="65" spans="1:24">
      <c r="O65" s="43" t="str">
        <f>TEXT((月次返済表!A67-1)/12,"0.0")</f>
        <v>5.1</v>
      </c>
      <c r="P65" s="44">
        <f ca="1">月次返済表!S67</f>
        <v>64031.221701394301</v>
      </c>
      <c r="Q65" s="44">
        <f ca="1">月次返済表!T67</f>
        <v>57636.392854864738</v>
      </c>
      <c r="R65" s="44">
        <f ca="1">月次返済表!H67</f>
        <v>57773.586714390687</v>
      </c>
      <c r="S65" s="44">
        <f ca="1">月次返済表!I67</f>
        <v>61308.8216036062</v>
      </c>
      <c r="T65" s="44">
        <f ca="1">月次返済表!R67</f>
        <v>121667.61455625904</v>
      </c>
      <c r="U65" s="44">
        <f ca="1">月次返済表!G67</f>
        <v>119082.40831799689</v>
      </c>
      <c r="V65" s="44"/>
      <c r="W65" s="44">
        <f ca="1">$V$6-T65</f>
        <v>28565.824438903801</v>
      </c>
      <c r="X65" s="44">
        <f ca="1">$V$6-U65</f>
        <v>31151.030677165953</v>
      </c>
    </row>
    <row r="66" spans="1:24">
      <c r="O66" s="43" t="str">
        <f>TEXT((月次返済表!A68-1)/12,"0.0")</f>
        <v>5.2</v>
      </c>
      <c r="P66" s="44">
        <f ca="1">月次返済表!S68</f>
        <v>63911.145882946672</v>
      </c>
      <c r="Q66" s="44">
        <f ca="1">月次返済表!T68</f>
        <v>57756.468673312367</v>
      </c>
      <c r="R66" s="44">
        <f ca="1">月次返済表!H68</f>
        <v>57645.860002716501</v>
      </c>
      <c r="S66" s="44">
        <f ca="1">月次返済表!I68</f>
        <v>61436.548315280386</v>
      </c>
      <c r="T66" s="44">
        <f ca="1">月次返済表!R68</f>
        <v>121667.61455625904</v>
      </c>
      <c r="U66" s="44">
        <f ca="1">月次返済表!G68</f>
        <v>119082.40831799689</v>
      </c>
      <c r="V66" s="44"/>
      <c r="W66" s="44">
        <f ca="1">$V$6-T66</f>
        <v>28565.824438903801</v>
      </c>
      <c r="X66" s="44">
        <f ca="1">$V$6-U66</f>
        <v>31151.030677165953</v>
      </c>
    </row>
    <row r="67" spans="1:24">
      <c r="O67" s="43" t="str">
        <f>TEXT((月次返済表!A69-1)/12,"0.0")</f>
        <v>5.3</v>
      </c>
      <c r="P67" s="44">
        <f ca="1">月次返済表!S69</f>
        <v>63790.81990654394</v>
      </c>
      <c r="Q67" s="44">
        <f ca="1">月次返済表!T69</f>
        <v>57876.794649715099</v>
      </c>
      <c r="R67" s="44">
        <f ca="1">月次返済表!H69</f>
        <v>57517.867193726335</v>
      </c>
      <c r="S67" s="44">
        <f ca="1">月次返済表!I69</f>
        <v>61564.541124270552</v>
      </c>
      <c r="T67" s="44">
        <f ca="1">月次返済表!R69</f>
        <v>121667.61455625904</v>
      </c>
      <c r="U67" s="44">
        <f ca="1">月次返済表!G69</f>
        <v>119082.40831799689</v>
      </c>
      <c r="V67" s="44"/>
      <c r="W67" s="44">
        <f ca="1">$V$6-T67</f>
        <v>28565.824438903801</v>
      </c>
      <c r="X67" s="44">
        <f ca="1">$V$6-U67</f>
        <v>31151.030677165953</v>
      </c>
    </row>
    <row r="68" spans="1:24">
      <c r="O68" s="43" t="str">
        <f>TEXT((月次返済表!A70-1)/12,"0.0")</f>
        <v>5.3</v>
      </c>
      <c r="P68" s="44">
        <f ca="1">月次返済表!S70</f>
        <v>63670.243251023698</v>
      </c>
      <c r="Q68" s="44">
        <f ca="1">月次返済表!T70</f>
        <v>57997.371305235341</v>
      </c>
      <c r="R68" s="44">
        <f ca="1">月次返済表!H70</f>
        <v>57389.607733050776</v>
      </c>
      <c r="S68" s="44">
        <f ca="1">月次返済表!I70</f>
        <v>61692.800584946111</v>
      </c>
      <c r="T68" s="44">
        <f ca="1">月次返済表!R70</f>
        <v>121667.61455625904</v>
      </c>
      <c r="U68" s="44">
        <f ca="1">月次返済表!G70</f>
        <v>119082.40831799689</v>
      </c>
      <c r="V68" s="44"/>
      <c r="W68" s="44">
        <f t="shared" ref="W68:W131" ca="1" si="0">$V$6-T68</f>
        <v>28565.824438903801</v>
      </c>
      <c r="X68" s="44">
        <f t="shared" ref="X68:X131" ca="1" si="1">$V$6-U68</f>
        <v>31151.030677165953</v>
      </c>
    </row>
    <row r="69" spans="1:24">
      <c r="O69" s="43" t="str">
        <f>TEXT((月次返済表!A71-1)/12,"0.0")</f>
        <v>5.4</v>
      </c>
      <c r="P69" s="44">
        <f ca="1">月次返済表!S71</f>
        <v>63549.415394137788</v>
      </c>
      <c r="Q69" s="44">
        <f ca="1">月次返済表!T71</f>
        <v>58118.199162121251</v>
      </c>
      <c r="R69" s="44">
        <f ca="1">月次返済表!H71</f>
        <v>57261.081065165468</v>
      </c>
      <c r="S69" s="44">
        <f ca="1">月次返済表!I71</f>
        <v>61821.327252831419</v>
      </c>
      <c r="T69" s="44">
        <f ca="1">月次返済表!R71</f>
        <v>121667.61455625904</v>
      </c>
      <c r="U69" s="44">
        <f ca="1">月次返済表!G71</f>
        <v>119082.40831799689</v>
      </c>
      <c r="V69" s="44"/>
      <c r="W69" s="44">
        <f t="shared" ca="1" si="0"/>
        <v>28565.824438903801</v>
      </c>
      <c r="X69" s="44">
        <f t="shared" ca="1" si="1"/>
        <v>31151.030677165953</v>
      </c>
    </row>
    <row r="70" spans="1:24">
      <c r="O70" s="43" t="str">
        <f>TEXT((月次返済表!A72-1)/12,"0.0")</f>
        <v>5.5</v>
      </c>
      <c r="P70" s="44">
        <f ca="1">月次返済表!S72</f>
        <v>63428.335812550038</v>
      </c>
      <c r="Q70" s="44">
        <f ca="1">月次返済表!T72</f>
        <v>58239.278743709001</v>
      </c>
      <c r="R70" s="44">
        <f ca="1">月次返済表!H72</f>
        <v>57132.286633388743</v>
      </c>
      <c r="S70" s="44">
        <f ca="1">月次返済表!I72</f>
        <v>61950.121684608144</v>
      </c>
      <c r="T70" s="44">
        <f ca="1">月次返済表!R72</f>
        <v>121667.61455625904</v>
      </c>
      <c r="U70" s="44">
        <f ca="1">月次返済表!G72</f>
        <v>119082.40831799689</v>
      </c>
      <c r="V70" s="44"/>
      <c r="W70" s="44">
        <f t="shared" ca="1" si="0"/>
        <v>28565.824438903801</v>
      </c>
      <c r="X70" s="44">
        <f t="shared" ca="1" si="1"/>
        <v>31151.030677165953</v>
      </c>
    </row>
    <row r="71" spans="1:24">
      <c r="O71" s="43" t="str">
        <f>TEXT((月次返済表!A73-1)/12,"0.0")</f>
        <v>5.6</v>
      </c>
      <c r="P71" s="44">
        <f ca="1">月次返済表!S73</f>
        <v>63307.003981833965</v>
      </c>
      <c r="Q71" s="44">
        <f ca="1">月次返済表!T73</f>
        <v>58360.610574425074</v>
      </c>
      <c r="R71" s="44">
        <f ca="1">月次返済表!H73</f>
        <v>57003.223879879144</v>
      </c>
      <c r="S71" s="44">
        <f ca="1">月次返済表!I73</f>
        <v>62079.184438117743</v>
      </c>
      <c r="T71" s="44">
        <f ca="1">月次返済表!R73</f>
        <v>121667.61455625904</v>
      </c>
      <c r="U71" s="44">
        <f ca="1">月次返済表!G73</f>
        <v>119082.40831799689</v>
      </c>
      <c r="V71" s="44"/>
      <c r="W71" s="44">
        <f t="shared" ca="1" si="0"/>
        <v>28565.824438903801</v>
      </c>
      <c r="X71" s="44">
        <f t="shared" ca="1" si="1"/>
        <v>31151.030677165953</v>
      </c>
    </row>
    <row r="72" spans="1:24">
      <c r="O72" s="43" t="str">
        <f>TEXT((月次返済表!A74-1)/12,"0.0")</f>
        <v>5.7</v>
      </c>
      <c r="P72" s="44">
        <f ca="1">月次返済表!S74</f>
        <v>63185.419376470585</v>
      </c>
      <c r="Q72" s="44">
        <f ca="1">月次返済表!T74</f>
        <v>58482.195179788454</v>
      </c>
      <c r="R72" s="44">
        <f ca="1">月次返済表!H74</f>
        <v>56873.892245633062</v>
      </c>
      <c r="S72" s="44">
        <f ca="1">月次返済表!I74</f>
        <v>62208.516072363826</v>
      </c>
      <c r="T72" s="44">
        <f ca="1">月次返済表!R74</f>
        <v>121667.61455625904</v>
      </c>
      <c r="U72" s="44">
        <f ca="1">月次返済表!G74</f>
        <v>119082.40831799689</v>
      </c>
      <c r="V72" s="44"/>
      <c r="W72" s="44">
        <f t="shared" ca="1" si="0"/>
        <v>28565.824438903801</v>
      </c>
      <c r="X72" s="44">
        <f t="shared" ca="1" si="1"/>
        <v>31151.030677165953</v>
      </c>
    </row>
    <row r="73" spans="1:24">
      <c r="O73" s="43" t="str">
        <f>TEXT((月次返済表!A75-1)/12,"0.0")</f>
        <v>5.8</v>
      </c>
      <c r="P73" s="44">
        <f ca="1">月次返済表!S75</f>
        <v>63063.581469846024</v>
      </c>
      <c r="Q73" s="44">
        <f ca="1">月次返済表!T75</f>
        <v>58604.033086413016</v>
      </c>
      <c r="R73" s="44">
        <f ca="1">月次返済表!H75</f>
        <v>56744.291170482313</v>
      </c>
      <c r="S73" s="44">
        <f ca="1">月次返済表!I75</f>
        <v>62338.117147514575</v>
      </c>
      <c r="T73" s="44">
        <f ca="1">月次返済表!R75</f>
        <v>121667.61455625904</v>
      </c>
      <c r="U73" s="44">
        <f ca="1">月次返済表!G75</f>
        <v>119082.40831799689</v>
      </c>
      <c r="V73" s="44"/>
      <c r="W73" s="44">
        <f t="shared" ca="1" si="0"/>
        <v>28565.824438903801</v>
      </c>
      <c r="X73" s="44">
        <f t="shared" ca="1" si="1"/>
        <v>31151.030677165953</v>
      </c>
    </row>
    <row r="74" spans="1:24" ht="56.4" customHeight="1">
      <c r="A74" s="19" t="s">
        <v>28</v>
      </c>
      <c r="B74" s="19"/>
      <c r="C74" s="19"/>
      <c r="D74" s="19"/>
      <c r="E74" s="19"/>
      <c r="F74" s="19"/>
      <c r="G74" s="19"/>
      <c r="H74" s="19"/>
      <c r="I74" s="45"/>
      <c r="O74" s="43" t="str">
        <f>TEXT((月次返済表!A76-1)/12,"0.0")</f>
        <v>5.8</v>
      </c>
      <c r="P74" s="44">
        <f ca="1">月次返済表!S76</f>
        <v>62941.489734249335</v>
      </c>
      <c r="Q74" s="44">
        <f ca="1">月次返済表!T76</f>
        <v>58726.124822009704</v>
      </c>
      <c r="R74" s="44">
        <f ca="1">月次返済表!H76</f>
        <v>56614.420093091663</v>
      </c>
      <c r="S74" s="44">
        <f ca="1">月次返済表!I76</f>
        <v>62467.988224905224</v>
      </c>
      <c r="T74" s="44">
        <f ca="1">月次返済表!R76</f>
        <v>121667.61455625904</v>
      </c>
      <c r="U74" s="44">
        <f ca="1">月次返済表!G76</f>
        <v>119082.40831799689</v>
      </c>
      <c r="V74" s="44"/>
      <c r="W74" s="44">
        <f t="shared" ca="1" si="0"/>
        <v>28565.824438903801</v>
      </c>
      <c r="X74" s="44">
        <f t="shared" ca="1" si="1"/>
        <v>31151.030677165953</v>
      </c>
    </row>
    <row r="75" spans="1:24" ht="25.05" customHeight="1">
      <c r="O75" s="43" t="str">
        <f>TEXT((月次返済表!A77-1)/12,"0.0")</f>
        <v>5.9</v>
      </c>
      <c r="P75" s="44">
        <f ca="1">月次返済表!S77</f>
        <v>62819.143640870148</v>
      </c>
      <c r="Q75" s="44">
        <f ca="1">月次返済表!T77</f>
        <v>58848.470915388891</v>
      </c>
      <c r="R75" s="44">
        <f ca="1">月次返済表!H77</f>
        <v>56484.278450956444</v>
      </c>
      <c r="S75" s="44">
        <f ca="1">月次返済表!I77</f>
        <v>62598.129867040443</v>
      </c>
      <c r="T75" s="44">
        <f ca="1">月次返済表!R77</f>
        <v>121667.61455625904</v>
      </c>
      <c r="U75" s="44">
        <f ca="1">月次返済表!G77</f>
        <v>119082.40831799689</v>
      </c>
      <c r="V75" s="44"/>
      <c r="W75" s="44">
        <f t="shared" ca="1" si="0"/>
        <v>28565.824438903801</v>
      </c>
      <c r="X75" s="44">
        <f t="shared" ca="1" si="1"/>
        <v>31151.030677165953</v>
      </c>
    </row>
    <row r="76" spans="1:24">
      <c r="O76" s="43" t="str">
        <f>TEXT((月次返済表!A78-1)/12,"0.0")</f>
        <v>6.0</v>
      </c>
      <c r="P76" s="44">
        <f ca="1">月次返済表!S78</f>
        <v>62696.542659796425</v>
      </c>
      <c r="Q76" s="44">
        <f ca="1">月次返済表!T78</f>
        <v>58971.071896462614</v>
      </c>
      <c r="R76" s="44">
        <f ca="1">月次返済表!H78</f>
        <v>56353.865680400108</v>
      </c>
      <c r="S76" s="44">
        <f ca="1">月次返済表!I78</f>
        <v>62728.54263759678</v>
      </c>
      <c r="T76" s="44">
        <f ca="1">月次返済表!R78</f>
        <v>121667.61455625904</v>
      </c>
      <c r="U76" s="44">
        <f ca="1">月次返済表!G78</f>
        <v>119082.40831799689</v>
      </c>
      <c r="V76" s="44"/>
      <c r="W76" s="44">
        <f t="shared" ca="1" si="0"/>
        <v>28565.824438903801</v>
      </c>
      <c r="X76" s="44">
        <f t="shared" ca="1" si="1"/>
        <v>31151.030677165953</v>
      </c>
    </row>
    <row r="77" spans="1:24">
      <c r="O77" s="43" t="str">
        <f>TEXT((月次返済表!A79-1)/12,"0.0")</f>
        <v>6.1</v>
      </c>
      <c r="P77" s="44">
        <f ca="1">月次返済表!S79</f>
        <v>62573.686260012124</v>
      </c>
      <c r="Q77" s="44">
        <f ca="1">月次返済表!T79</f>
        <v>59093.928296246915</v>
      </c>
      <c r="R77" s="44">
        <f ca="1">月次返済表!H79</f>
        <v>56223.181216571778</v>
      </c>
      <c r="S77" s="44">
        <f ca="1">月次返済表!I79</f>
        <v>62859.227101425109</v>
      </c>
      <c r="T77" s="44">
        <f ca="1">月次返済表!R79</f>
        <v>121667.61455625904</v>
      </c>
      <c r="U77" s="44">
        <f ca="1">月次返済表!G79</f>
        <v>119082.40831799689</v>
      </c>
      <c r="V77" s="44"/>
      <c r="W77" s="44">
        <f t="shared" ca="1" si="0"/>
        <v>28565.824438903801</v>
      </c>
      <c r="X77" s="44">
        <f t="shared" ca="1" si="1"/>
        <v>31151.030677165953</v>
      </c>
    </row>
    <row r="78" spans="1:24">
      <c r="O78" s="43" t="str">
        <f>TEXT((月次返済表!A80-1)/12,"0.0")</f>
        <v>6.2</v>
      </c>
      <c r="P78" s="44">
        <f ca="1">月次返済表!S80</f>
        <v>62450.573909394945</v>
      </c>
      <c r="Q78" s="44">
        <f ca="1">月次返済表!T80</f>
        <v>59217.040646864094</v>
      </c>
      <c r="R78" s="44">
        <f ca="1">月次返済表!H80</f>
        <v>56092.224493443813</v>
      </c>
      <c r="S78" s="44">
        <f ca="1">月次返済表!I80</f>
        <v>62990.183824553074</v>
      </c>
      <c r="T78" s="44">
        <f ca="1">月次返済表!R80</f>
        <v>121667.61455625904</v>
      </c>
      <c r="U78" s="44">
        <f ca="1">月次返済表!G80</f>
        <v>119082.40831799689</v>
      </c>
      <c r="V78" s="44"/>
      <c r="W78" s="44">
        <f t="shared" ca="1" si="0"/>
        <v>28565.824438903801</v>
      </c>
      <c r="X78" s="44">
        <f t="shared" ca="1" si="1"/>
        <v>31151.030677165953</v>
      </c>
    </row>
    <row r="79" spans="1:24">
      <c r="O79" s="43" t="str">
        <f>TEXT((月次返済表!A81-1)/12,"0.0")</f>
        <v>6.3</v>
      </c>
      <c r="P79" s="44">
        <f ca="1">月次返済表!S81</f>
        <v>62327.20507471398</v>
      </c>
      <c r="Q79" s="44">
        <f ca="1">月次返済表!T81</f>
        <v>59340.409481545059</v>
      </c>
      <c r="R79" s="44">
        <f ca="1">月次返済表!H81</f>
        <v>55960.994943809317</v>
      </c>
      <c r="S79" s="44">
        <f ca="1">月次返済表!I81</f>
        <v>63121.41337418757</v>
      </c>
      <c r="T79" s="44">
        <f ca="1">月次返済表!R81</f>
        <v>121667.61455625904</v>
      </c>
      <c r="U79" s="44">
        <f ca="1">月次返済表!G81</f>
        <v>119082.40831799689</v>
      </c>
      <c r="V79" s="44"/>
      <c r="W79" s="44">
        <f t="shared" ca="1" si="0"/>
        <v>28565.824438903801</v>
      </c>
      <c r="X79" s="44">
        <f t="shared" ca="1" si="1"/>
        <v>31151.030677165953</v>
      </c>
    </row>
    <row r="80" spans="1:24">
      <c r="O80" s="43" t="str">
        <f>TEXT((月次返済表!A82-1)/12,"0.0")</f>
        <v>6.3</v>
      </c>
      <c r="P80" s="44">
        <f ca="1">月次返済表!S82</f>
        <v>62203.579221627435</v>
      </c>
      <c r="Q80" s="44">
        <f ca="1">月次返済表!T82</f>
        <v>59464.035334631604</v>
      </c>
      <c r="R80" s="44">
        <f ca="1">月次返済表!H82</f>
        <v>55829.491999279759</v>
      </c>
      <c r="S80" s="44">
        <f ca="1">月次返済表!I82</f>
        <v>63252.916318717129</v>
      </c>
      <c r="T80" s="44">
        <f ca="1">月次返済表!R82</f>
        <v>121667.61455625904</v>
      </c>
      <c r="U80" s="44">
        <f ca="1">月次返済表!G82</f>
        <v>119082.40831799689</v>
      </c>
      <c r="V80" s="44"/>
      <c r="W80" s="44">
        <f t="shared" ca="1" si="0"/>
        <v>28565.824438903801</v>
      </c>
      <c r="X80" s="44">
        <f t="shared" ca="1" si="1"/>
        <v>31151.030677165953</v>
      </c>
    </row>
    <row r="81" spans="15:24">
      <c r="O81" s="43" t="str">
        <f>TEXT((月次返済表!A83-1)/12,"0.0")</f>
        <v>6.4</v>
      </c>
      <c r="P81" s="44">
        <f ca="1">月次返済表!S83</f>
        <v>62079.695814680279</v>
      </c>
      <c r="Q81" s="44">
        <f ca="1">月次返済表!T83</f>
        <v>59587.91874157876</v>
      </c>
      <c r="R81" s="44">
        <f ca="1">月次返済表!H83</f>
        <v>55697.715090282429</v>
      </c>
      <c r="S81" s="44">
        <f ca="1">月次返済表!I83</f>
        <v>63384.693227714459</v>
      </c>
      <c r="T81" s="44">
        <f ca="1">月次返済表!R83</f>
        <v>121667.61455625904</v>
      </c>
      <c r="U81" s="44">
        <f ca="1">月次返済表!G83</f>
        <v>119082.40831799689</v>
      </c>
      <c r="V81" s="44"/>
      <c r="W81" s="44">
        <f t="shared" ca="1" si="0"/>
        <v>28565.824438903801</v>
      </c>
      <c r="X81" s="44">
        <f t="shared" ca="1" si="1"/>
        <v>31151.030677165953</v>
      </c>
    </row>
    <row r="82" spans="15:24">
      <c r="O82" s="43" t="str">
        <f>TEXT((月次返済表!A84-1)/12,"0.0")</f>
        <v>6.5</v>
      </c>
      <c r="P82" s="44">
        <f ca="1">月次返済表!S84</f>
        <v>61955.554317301991</v>
      </c>
      <c r="Q82" s="44">
        <f ca="1">月次返済表!T84</f>
        <v>59712.060238957049</v>
      </c>
      <c r="R82" s="44">
        <f ca="1">月次返済表!H84</f>
        <v>55565.663646058027</v>
      </c>
      <c r="S82" s="44">
        <f ca="1">月次返済表!I84</f>
        <v>63516.744671938861</v>
      </c>
      <c r="T82" s="44">
        <f ca="1">月次返済表!R84</f>
        <v>121667.61455625904</v>
      </c>
      <c r="U82" s="44">
        <f ca="1">月次返済表!G84</f>
        <v>119082.40831799689</v>
      </c>
      <c r="V82" s="44"/>
      <c r="W82" s="44">
        <f t="shared" ca="1" si="0"/>
        <v>28565.824438903801</v>
      </c>
      <c r="X82" s="44">
        <f t="shared" ca="1" si="1"/>
        <v>31151.030677165953</v>
      </c>
    </row>
    <row r="83" spans="15:24">
      <c r="O83" s="43" t="str">
        <f>TEXT((月次返済表!A85-1)/12,"0.0")</f>
        <v>6.6</v>
      </c>
      <c r="P83" s="44">
        <f ca="1">月次返済表!S85</f>
        <v>61831.154191804155</v>
      </c>
      <c r="Q83" s="44">
        <f ca="1">月次返済表!T85</f>
        <v>59836.460364454884</v>
      </c>
      <c r="R83" s="44">
        <f ca="1">月次返済表!H85</f>
        <v>55433.337094658149</v>
      </c>
      <c r="S83" s="44">
        <f ca="1">月次返済表!I85</f>
        <v>63649.071223338738</v>
      </c>
      <c r="T83" s="44">
        <f ca="1">月次返済表!R85</f>
        <v>121667.61455625904</v>
      </c>
      <c r="U83" s="44">
        <f ca="1">月次返済表!G85</f>
        <v>119082.40831799689</v>
      </c>
      <c r="V83" s="44"/>
      <c r="W83" s="44">
        <f t="shared" ca="1" si="0"/>
        <v>28565.824438903801</v>
      </c>
      <c r="X83" s="44">
        <f t="shared" ca="1" si="1"/>
        <v>31151.030677165953</v>
      </c>
    </row>
    <row r="84" spans="15:24">
      <c r="O84" s="43" t="str">
        <f>TEXT((月次返済表!A86-1)/12,"0.0")</f>
        <v>6.7</v>
      </c>
      <c r="P84" s="44">
        <f ca="1">月次返済表!S86</f>
        <v>61706.494899378216</v>
      </c>
      <c r="Q84" s="44">
        <f ca="1">月次返済表!T86</f>
        <v>59961.119656880823</v>
      </c>
      <c r="R84" s="44">
        <f ca="1">月次返済表!H86</f>
        <v>55300.734862942867</v>
      </c>
      <c r="S84" s="44">
        <f ca="1">月次返済表!I86</f>
        <v>63781.67345505402</v>
      </c>
      <c r="T84" s="44">
        <f ca="1">月次返済表!R86</f>
        <v>121667.61455625904</v>
      </c>
      <c r="U84" s="44">
        <f ca="1">月次返済表!G86</f>
        <v>119082.40831799689</v>
      </c>
      <c r="V84" s="44"/>
      <c r="W84" s="44">
        <f t="shared" ca="1" si="0"/>
        <v>28565.824438903801</v>
      </c>
      <c r="X84" s="44">
        <f t="shared" ca="1" si="1"/>
        <v>31151.030677165953</v>
      </c>
    </row>
    <row r="85" spans="15:24">
      <c r="O85" s="43" t="str">
        <f>TEXT((月次返済表!A87-1)/12,"0.0")</f>
        <v>6.8</v>
      </c>
      <c r="P85" s="44">
        <f ca="1">月次返済表!S87</f>
        <v>61581.575900093048</v>
      </c>
      <c r="Q85" s="44">
        <f ca="1">月次返済表!T87</f>
        <v>60086.038656165991</v>
      </c>
      <c r="R85" s="44">
        <f ca="1">月次返済表!H87</f>
        <v>55167.856376578166</v>
      </c>
      <c r="S85" s="44">
        <f ca="1">月次返済表!I87</f>
        <v>63914.551941418722</v>
      </c>
      <c r="T85" s="44">
        <f ca="1">月次返済表!R87</f>
        <v>121667.61455625904</v>
      </c>
      <c r="U85" s="44">
        <f ca="1">月次返済表!G87</f>
        <v>119082.40831799689</v>
      </c>
      <c r="V85" s="44"/>
      <c r="W85" s="44">
        <f t="shared" ca="1" si="0"/>
        <v>28565.824438903801</v>
      </c>
      <c r="X85" s="44">
        <f t="shared" ca="1" si="1"/>
        <v>31151.030677165953</v>
      </c>
    </row>
    <row r="86" spans="15:24">
      <c r="O86" s="43" t="str">
        <f>TEXT((月次返済表!A88-1)/12,"0.0")</f>
        <v>6.8</v>
      </c>
      <c r="P86" s="44">
        <f ca="1">月次返済表!S88</f>
        <v>61456.396652892698</v>
      </c>
      <c r="Q86" s="44">
        <f ca="1">月次返済表!T88</f>
        <v>60211.217903366341</v>
      </c>
      <c r="R86" s="44">
        <f ca="1">月次返済表!H88</f>
        <v>55034.701060033549</v>
      </c>
      <c r="S86" s="44">
        <f ca="1">月次返済表!I88</f>
        <v>64047.707257963339</v>
      </c>
      <c r="T86" s="44">
        <f ca="1">月次返済表!R88</f>
        <v>121667.61455625904</v>
      </c>
      <c r="U86" s="44">
        <f ca="1">月次返済表!G88</f>
        <v>119082.40831799689</v>
      </c>
      <c r="V86" s="44"/>
      <c r="W86" s="44">
        <f t="shared" ca="1" si="0"/>
        <v>28565.824438903801</v>
      </c>
      <c r="X86" s="44">
        <f t="shared" ca="1" si="1"/>
        <v>31151.030677165953</v>
      </c>
    </row>
    <row r="87" spans="15:24">
      <c r="O87" s="43" t="str">
        <f>TEXT((月次返済表!A89-1)/12,"0.0")</f>
        <v>6.9</v>
      </c>
      <c r="P87" s="44">
        <f ca="1">月次返済表!S89</f>
        <v>61330.956615594019</v>
      </c>
      <c r="Q87" s="44">
        <f ca="1">月次返済表!T89</f>
        <v>60336.65794066502</v>
      </c>
      <c r="R87" s="44">
        <f ca="1">月次返済表!H89</f>
        <v>54901.268336579458</v>
      </c>
      <c r="S87" s="44">
        <f ca="1">月次返済表!I89</f>
        <v>64181.139981417429</v>
      </c>
      <c r="T87" s="44">
        <f ca="1">月次返済表!R89</f>
        <v>121667.61455625904</v>
      </c>
      <c r="U87" s="44">
        <f ca="1">月次返済表!G89</f>
        <v>119082.40831799689</v>
      </c>
      <c r="V87" s="44"/>
      <c r="W87" s="44">
        <f t="shared" ca="1" si="0"/>
        <v>28565.824438903801</v>
      </c>
      <c r="X87" s="44">
        <f t="shared" ca="1" si="1"/>
        <v>31151.030677165953</v>
      </c>
    </row>
    <row r="88" spans="15:24">
      <c r="O88" s="43" t="str">
        <f>TEXT((月次返済表!A90-1)/12,"0.0")</f>
        <v>7.0</v>
      </c>
      <c r="P88" s="44">
        <f ca="1">月次返済表!S90</f>
        <v>61205.255244884298</v>
      </c>
      <c r="Q88" s="44">
        <f ca="1">月次返済表!T90</f>
        <v>60462.359311374741</v>
      </c>
      <c r="R88" s="44">
        <f ca="1">月次返済表!H90</f>
        <v>54767.557628284827</v>
      </c>
      <c r="S88" s="44">
        <f ca="1">月次返済表!I90</f>
        <v>64314.850689712061</v>
      </c>
      <c r="T88" s="44">
        <f ca="1">月次返済表!R90</f>
        <v>121667.61455625904</v>
      </c>
      <c r="U88" s="44">
        <f ca="1">月次返済表!G90</f>
        <v>119082.40831799689</v>
      </c>
      <c r="V88" s="44"/>
      <c r="W88" s="44">
        <f t="shared" ca="1" si="0"/>
        <v>28565.824438903801</v>
      </c>
      <c r="X88" s="44">
        <f t="shared" ca="1" si="1"/>
        <v>31151.030677165953</v>
      </c>
    </row>
    <row r="89" spans="15:24">
      <c r="O89" s="43" t="str">
        <f>TEXT((月次返済表!A91-1)/12,"0.0")</f>
        <v>7.1</v>
      </c>
      <c r="P89" s="44">
        <f ca="1">月次返済表!S91</f>
        <v>61079.291996318934</v>
      </c>
      <c r="Q89" s="44">
        <f ca="1">月次返済表!T91</f>
        <v>60588.322559940105</v>
      </c>
      <c r="R89" s="44">
        <f ca="1">月次返済表!H91</f>
        <v>54633.568356014592</v>
      </c>
      <c r="S89" s="44">
        <f ca="1">月次返済表!I91</f>
        <v>64448.839961982296</v>
      </c>
      <c r="T89" s="44">
        <f ca="1">月次返済表!R91</f>
        <v>121667.61455625904</v>
      </c>
      <c r="U89" s="44">
        <f ca="1">月次返済表!G91</f>
        <v>119082.40831799689</v>
      </c>
      <c r="V89" s="44"/>
      <c r="W89" s="44">
        <f t="shared" ca="1" si="0"/>
        <v>28565.824438903801</v>
      </c>
      <c r="X89" s="44">
        <f t="shared" ca="1" si="1"/>
        <v>31151.030677165953</v>
      </c>
    </row>
    <row r="90" spans="15:24">
      <c r="O90" s="43" t="str">
        <f>TEXT((月次返済表!A92-1)/12,"0.0")</f>
        <v>7.2</v>
      </c>
      <c r="P90" s="44">
        <f ca="1">月次返済表!S92</f>
        <v>60953.066324319057</v>
      </c>
      <c r="Q90" s="44">
        <f ca="1">月次返済表!T92</f>
        <v>60714.548231939982</v>
      </c>
      <c r="R90" s="44">
        <f ca="1">月次返済表!H92</f>
        <v>54499.299939427139</v>
      </c>
      <c r="S90" s="44">
        <f ca="1">月次返済表!I92</f>
        <v>64583.108378569748</v>
      </c>
      <c r="T90" s="44">
        <f ca="1">月次返済表!R92</f>
        <v>121667.61455625904</v>
      </c>
      <c r="U90" s="44">
        <f ca="1">月次返済表!G92</f>
        <v>119082.40831799689</v>
      </c>
      <c r="V90" s="44"/>
      <c r="W90" s="44">
        <f t="shared" ca="1" si="0"/>
        <v>28565.824438903801</v>
      </c>
      <c r="X90" s="44">
        <f t="shared" ca="1" si="1"/>
        <v>31151.030677165953</v>
      </c>
    </row>
    <row r="91" spans="15:24">
      <c r="O91" s="43" t="str">
        <f>TEXT((月次返済表!A93-1)/12,"0.0")</f>
        <v>7.3</v>
      </c>
      <c r="P91" s="44">
        <f ca="1">月次返済表!S93</f>
        <v>60826.577682169183</v>
      </c>
      <c r="Q91" s="44">
        <f ca="1">月次返済表!T93</f>
        <v>60841.036874089856</v>
      </c>
      <c r="R91" s="44">
        <f ca="1">月次返済表!H93</f>
        <v>54364.751796971774</v>
      </c>
      <c r="S91" s="44">
        <f ca="1">月次返済表!I93</f>
        <v>64717.656521025114</v>
      </c>
      <c r="T91" s="44">
        <f ca="1">月次返済表!R93</f>
        <v>121667.61455625904</v>
      </c>
      <c r="U91" s="44">
        <f ca="1">月次返済表!G93</f>
        <v>119082.40831799689</v>
      </c>
      <c r="V91" s="44"/>
      <c r="W91" s="44">
        <f t="shared" ca="1" si="0"/>
        <v>28565.824438903801</v>
      </c>
      <c r="X91" s="44">
        <f t="shared" ca="1" si="1"/>
        <v>31151.030677165953</v>
      </c>
    </row>
    <row r="92" spans="15:24">
      <c r="O92" s="43" t="str">
        <f>TEXT((月次返済表!A94-1)/12,"0.0")</f>
        <v>7.3</v>
      </c>
      <c r="P92" s="44">
        <f ca="1">月次返済表!S94</f>
        <v>60699.825522014835</v>
      </c>
      <c r="Q92" s="44">
        <f ca="1">月次返済表!T94</f>
        <v>60967.789034244204</v>
      </c>
      <c r="R92" s="44">
        <f ca="1">月次返済表!H94</f>
        <v>54229.923345886309</v>
      </c>
      <c r="S92" s="44">
        <f ca="1">月次返済表!I94</f>
        <v>64852.484972110578</v>
      </c>
      <c r="T92" s="44">
        <f ca="1">月次返済表!R94</f>
        <v>121667.61455625904</v>
      </c>
      <c r="U92" s="44">
        <f ca="1">月次返済表!G94</f>
        <v>119082.40831799689</v>
      </c>
      <c r="V92" s="44"/>
      <c r="W92" s="44">
        <f t="shared" ca="1" si="0"/>
        <v>28565.824438903801</v>
      </c>
      <c r="X92" s="44">
        <f t="shared" ca="1" si="1"/>
        <v>31151.030677165953</v>
      </c>
    </row>
    <row r="93" spans="15:24">
      <c r="O93" s="43" t="str">
        <f>TEXT((月次返済表!A95-1)/12,"0.0")</f>
        <v>7.4</v>
      </c>
      <c r="P93" s="44">
        <f ca="1">月次返済表!S95</f>
        <v>60572.809294860148</v>
      </c>
      <c r="Q93" s="44">
        <f ca="1">月次返済表!T95</f>
        <v>61094.805261398891</v>
      </c>
      <c r="R93" s="44">
        <f ca="1">月次返済表!H95</f>
        <v>54094.814002194405</v>
      </c>
      <c r="S93" s="44">
        <f ca="1">月次返済表!I95</f>
        <v>64987.594315802482</v>
      </c>
      <c r="T93" s="44">
        <f ca="1">月次返済表!R95</f>
        <v>121667.61455625904</v>
      </c>
      <c r="U93" s="44">
        <f ca="1">月次返済表!G95</f>
        <v>119082.40831799689</v>
      </c>
      <c r="V93" s="44"/>
      <c r="W93" s="44">
        <f t="shared" ca="1" si="0"/>
        <v>28565.824438903801</v>
      </c>
      <c r="X93" s="44">
        <f t="shared" ca="1" si="1"/>
        <v>31151.030677165953</v>
      </c>
    </row>
    <row r="94" spans="15:24">
      <c r="O94" s="43" t="str">
        <f>TEXT((月次返済表!A96-1)/12,"0.0")</f>
        <v>7.5</v>
      </c>
      <c r="P94" s="44">
        <f ca="1">月次返済表!S96</f>
        <v>60445.528450565565</v>
      </c>
      <c r="Q94" s="44">
        <f ca="1">月次返済表!T96</f>
        <v>61222.086105693474</v>
      </c>
      <c r="R94" s="44">
        <f ca="1">月次返済表!H96</f>
        <v>53959.423180703154</v>
      </c>
      <c r="S94" s="44">
        <f ca="1">月次返済表!I96</f>
        <v>65122.985137293734</v>
      </c>
      <c r="T94" s="44">
        <f ca="1">月次返済表!R96</f>
        <v>121667.61455625904</v>
      </c>
      <c r="U94" s="44">
        <f ca="1">月次返済表!G96</f>
        <v>119082.40831799689</v>
      </c>
      <c r="V94" s="44"/>
      <c r="W94" s="44">
        <f t="shared" ca="1" si="0"/>
        <v>28565.824438903801</v>
      </c>
      <c r="X94" s="44">
        <f t="shared" ca="1" si="1"/>
        <v>31151.030677165953</v>
      </c>
    </row>
    <row r="95" spans="15:24">
      <c r="O95" s="43" t="str">
        <f>TEXT((月次返済表!A97-1)/12,"0.0")</f>
        <v>7.6</v>
      </c>
      <c r="P95" s="44">
        <f ca="1">月次返済表!S97</f>
        <v>60317.982437845378</v>
      </c>
      <c r="Q95" s="44">
        <f ca="1">月次返済表!T97</f>
        <v>61349.632118413661</v>
      </c>
      <c r="R95" s="44">
        <f ca="1">月次返済表!H97</f>
        <v>53823.750295000464</v>
      </c>
      <c r="S95" s="44">
        <f ca="1">月次返済表!I97</f>
        <v>65258.658022996424</v>
      </c>
      <c r="T95" s="44">
        <f ca="1">月次返済表!R97</f>
        <v>121667.61455625904</v>
      </c>
      <c r="U95" s="44">
        <f ca="1">月次返済表!G97</f>
        <v>119082.40831799689</v>
      </c>
      <c r="V95" s="44"/>
      <c r="W95" s="44">
        <f t="shared" ca="1" si="0"/>
        <v>28565.824438903801</v>
      </c>
      <c r="X95" s="44">
        <f t="shared" ca="1" si="1"/>
        <v>31151.030677165953</v>
      </c>
    </row>
    <row r="96" spans="15:24">
      <c r="O96" s="43" t="str">
        <f>TEXT((月次返済表!A98-1)/12,"0.0")</f>
        <v>7.7</v>
      </c>
      <c r="P96" s="44">
        <f ca="1">月次返済表!S98</f>
        <v>60190.170704265351</v>
      </c>
      <c r="Q96" s="44">
        <f ca="1">月次返済表!T98</f>
        <v>61477.443851993688</v>
      </c>
      <c r="R96" s="44">
        <f ca="1">月次返済表!H98</f>
        <v>53687.794757452553</v>
      </c>
      <c r="S96" s="44">
        <f ca="1">月次返済表!I98</f>
        <v>65394.613560544334</v>
      </c>
      <c r="T96" s="44">
        <f ca="1">月次返済表!R98</f>
        <v>121667.61455625904</v>
      </c>
      <c r="U96" s="44">
        <f ca="1">月次返済表!G98</f>
        <v>119082.40831799689</v>
      </c>
      <c r="V96" s="44"/>
      <c r="W96" s="44">
        <f t="shared" ca="1" si="0"/>
        <v>28565.824438903801</v>
      </c>
      <c r="X96" s="44">
        <f t="shared" ca="1" si="1"/>
        <v>31151.030677165953</v>
      </c>
    </row>
    <row r="97" spans="15:24">
      <c r="O97" s="43" t="str">
        <f>TEXT((月次返済表!A99-1)/12,"0.0")</f>
        <v>7.8</v>
      </c>
      <c r="P97" s="44">
        <f ca="1">月次返済表!S99</f>
        <v>60062.092696240368</v>
      </c>
      <c r="Q97" s="44">
        <f ca="1">月次返済表!T99</f>
        <v>61605.521860018671</v>
      </c>
      <c r="R97" s="44">
        <f ca="1">月次返済表!H99</f>
        <v>53551.555979201417</v>
      </c>
      <c r="S97" s="44">
        <f ca="1">月次返済表!I99</f>
        <v>65530.85233879547</v>
      </c>
      <c r="T97" s="44">
        <f ca="1">月次返済表!R99</f>
        <v>121667.61455625904</v>
      </c>
      <c r="U97" s="44">
        <f ca="1">月次返済表!G99</f>
        <v>119082.40831799689</v>
      </c>
      <c r="V97" s="44"/>
      <c r="W97" s="44">
        <f t="shared" ca="1" si="0"/>
        <v>28565.824438903801</v>
      </c>
      <c r="X97" s="44">
        <f t="shared" ca="1" si="1"/>
        <v>31151.030677165953</v>
      </c>
    </row>
    <row r="98" spans="15:24">
      <c r="O98" s="43" t="str">
        <f>TEXT((月次返済表!A100-1)/12,"0.0")</f>
        <v>7.8</v>
      </c>
      <c r="P98" s="44">
        <f ca="1">月次返済表!S100</f>
        <v>59933.747859031988</v>
      </c>
      <c r="Q98" s="44">
        <f ca="1">月次返済表!T100</f>
        <v>61733.866697227051</v>
      </c>
      <c r="R98" s="44">
        <f ca="1">月次返済表!H100</f>
        <v>53415.033370162251</v>
      </c>
      <c r="S98" s="44">
        <f ca="1">月次返済表!I100</f>
        <v>65667.374947834644</v>
      </c>
      <c r="T98" s="44">
        <f ca="1">月次返済表!R100</f>
        <v>121667.61455625904</v>
      </c>
      <c r="U98" s="44">
        <f ca="1">月次返済表!G100</f>
        <v>119082.40831799689</v>
      </c>
      <c r="V98" s="44"/>
      <c r="W98" s="44">
        <f t="shared" ca="1" si="0"/>
        <v>28565.824438903801</v>
      </c>
      <c r="X98" s="44">
        <f t="shared" ca="1" si="1"/>
        <v>31151.030677165953</v>
      </c>
    </row>
    <row r="99" spans="15:24">
      <c r="O99" s="43" t="str">
        <f>TEXT((月次返済表!A101-1)/12,"0.0")</f>
        <v>7.9</v>
      </c>
      <c r="P99" s="44">
        <f ca="1">月次返済表!S101</f>
        <v>59805.135636746105</v>
      </c>
      <c r="Q99" s="44">
        <f ca="1">月次返済表!T101</f>
        <v>61862.478919512934</v>
      </c>
      <c r="R99" s="44">
        <f ca="1">月次返済表!H101</f>
        <v>53278.226339020934</v>
      </c>
      <c r="S99" s="44">
        <f ca="1">月次返済表!I101</f>
        <v>65804.181978975947</v>
      </c>
      <c r="T99" s="44">
        <f ca="1">月次返済表!R101</f>
        <v>121667.61455625904</v>
      </c>
      <c r="U99" s="44">
        <f ca="1">月次返済表!G101</f>
        <v>119082.40831799689</v>
      </c>
      <c r="V99" s="44"/>
      <c r="W99" s="44">
        <f t="shared" ca="1" si="0"/>
        <v>28565.824438903801</v>
      </c>
      <c r="X99" s="44">
        <f t="shared" ca="1" si="1"/>
        <v>31151.030677165953</v>
      </c>
    </row>
    <row r="100" spans="15:24">
      <c r="O100" s="43" t="str">
        <f>TEXT((月次返済表!A102-1)/12,"0.0")</f>
        <v>8.0</v>
      </c>
      <c r="P100" s="44">
        <f ca="1">月次返済表!S102</f>
        <v>59676.255472330457</v>
      </c>
      <c r="Q100" s="44">
        <f ca="1">月次返済表!T102</f>
        <v>61991.359083928583</v>
      </c>
      <c r="R100" s="44">
        <f ca="1">月次返済表!H102</f>
        <v>53141.134293231407</v>
      </c>
      <c r="S100" s="44">
        <f ca="1">月次返済表!I102</f>
        <v>65941.274024765473</v>
      </c>
      <c r="T100" s="44">
        <f ca="1">月次返済表!R102</f>
        <v>121667.61455625904</v>
      </c>
      <c r="U100" s="44">
        <f ca="1">月次返済表!G102</f>
        <v>119082.40831799689</v>
      </c>
      <c r="V100" s="44"/>
      <c r="W100" s="44">
        <f t="shared" ca="1" si="0"/>
        <v>28565.824438903801</v>
      </c>
      <c r="X100" s="44">
        <f t="shared" ca="1" si="1"/>
        <v>31151.030677165953</v>
      </c>
    </row>
    <row r="101" spans="15:24">
      <c r="O101" s="43" t="str">
        <f>TEXT((月次返済表!A103-1)/12,"0.0")</f>
        <v>8.1</v>
      </c>
      <c r="P101" s="44">
        <f ca="1">月次返済表!S103</f>
        <v>59547.106807572265</v>
      </c>
      <c r="Q101" s="44">
        <f ca="1">月次返済表!T103</f>
        <v>62120.507748686774</v>
      </c>
      <c r="R101" s="44">
        <f ca="1">月次返済表!H103</f>
        <v>53003.756639013147</v>
      </c>
      <c r="S101" s="44">
        <f ca="1">月次返済表!I103</f>
        <v>66078.651678983733</v>
      </c>
      <c r="T101" s="44">
        <f ca="1">月次返済表!R103</f>
        <v>121667.61455625904</v>
      </c>
      <c r="U101" s="44">
        <f ca="1">月次返済表!G103</f>
        <v>119082.40831799689</v>
      </c>
      <c r="V101" s="44"/>
      <c r="W101" s="44">
        <f t="shared" ca="1" si="0"/>
        <v>28565.824438903801</v>
      </c>
      <c r="X101" s="44">
        <f t="shared" ca="1" si="1"/>
        <v>31151.030677165953</v>
      </c>
    </row>
    <row r="102" spans="15:24">
      <c r="O102" s="43" t="str">
        <f>TEXT((月次返済表!A104-1)/12,"0.0")</f>
        <v>8.2</v>
      </c>
      <c r="P102" s="44">
        <f ca="1">月次返済表!S104</f>
        <v>59417.689083095836</v>
      </c>
      <c r="Q102" s="44">
        <f ca="1">月次返済表!T104</f>
        <v>62249.925473163203</v>
      </c>
      <c r="R102" s="44">
        <f ca="1">月次返済表!H104</f>
        <v>52866.092781348591</v>
      </c>
      <c r="S102" s="44">
        <f ca="1">月次返済表!I104</f>
        <v>66216.315536648297</v>
      </c>
      <c r="T102" s="44">
        <f ca="1">月次返済表!R104</f>
        <v>121667.61455625904</v>
      </c>
      <c r="U102" s="44">
        <f ca="1">月次返済表!G104</f>
        <v>119082.40831799689</v>
      </c>
      <c r="V102" s="44"/>
      <c r="W102" s="44">
        <f t="shared" ca="1" si="0"/>
        <v>28565.824438903801</v>
      </c>
      <c r="X102" s="44">
        <f t="shared" ca="1" si="1"/>
        <v>31151.030677165953</v>
      </c>
    </row>
    <row r="103" spans="15:24">
      <c r="O103" s="43" t="str">
        <f>TEXT((月次返済表!A105-1)/12,"0.0")</f>
        <v>8.3</v>
      </c>
      <c r="P103" s="44">
        <f ca="1">月次返済表!S105</f>
        <v>59288.001738360072</v>
      </c>
      <c r="Q103" s="44">
        <f ca="1">月次返済表!T105</f>
        <v>62379.612817898967</v>
      </c>
      <c r="R103" s="44">
        <f ca="1">月次返済表!H105</f>
        <v>52728.142123980571</v>
      </c>
      <c r="S103" s="44">
        <f ca="1">月次返済表!I105</f>
        <v>66354.266194016323</v>
      </c>
      <c r="T103" s="44">
        <f ca="1">月次返済表!R105</f>
        <v>121667.61455625904</v>
      </c>
      <c r="U103" s="44">
        <f ca="1">月次返済表!G105</f>
        <v>119082.40831799689</v>
      </c>
      <c r="V103" s="44"/>
      <c r="W103" s="44">
        <f t="shared" ca="1" si="0"/>
        <v>28565.824438903801</v>
      </c>
      <c r="X103" s="44">
        <f t="shared" ca="1" si="1"/>
        <v>31151.030677165953</v>
      </c>
    </row>
    <row r="104" spans="15:24">
      <c r="O104" s="43" t="str">
        <f>TEXT((月次返済表!A106-1)/12,"0.0")</f>
        <v>8.3</v>
      </c>
      <c r="P104" s="44">
        <f ca="1">月次返済表!S106</f>
        <v>59158.044211656124</v>
      </c>
      <c r="Q104" s="44">
        <f ca="1">月次返済表!T106</f>
        <v>62509.570344602915</v>
      </c>
      <c r="R104" s="44">
        <f ca="1">月次返済表!H106</f>
        <v>52589.904069409706</v>
      </c>
      <c r="S104" s="44">
        <f ca="1">月次返済表!I106</f>
        <v>66492.504248587182</v>
      </c>
      <c r="T104" s="44">
        <f ca="1">月次返済表!R106</f>
        <v>121667.61455625904</v>
      </c>
      <c r="U104" s="44">
        <f ca="1">月次返済表!G106</f>
        <v>119082.40831799689</v>
      </c>
      <c r="V104" s="44"/>
      <c r="W104" s="44">
        <f t="shared" ca="1" si="0"/>
        <v>28565.824438903801</v>
      </c>
      <c r="X104" s="44">
        <f t="shared" ca="1" si="1"/>
        <v>31151.030677165953</v>
      </c>
    </row>
    <row r="105" spans="15:24">
      <c r="O105" s="43" t="str">
        <f>TEXT((月次返済表!A107-1)/12,"0.0")</f>
        <v>8.4</v>
      </c>
      <c r="P105" s="44">
        <f ca="1">月次返済表!S107</f>
        <v>59027.815940104862</v>
      </c>
      <c r="Q105" s="44">
        <f ca="1">月次返済表!T107</f>
        <v>62639.798616154178</v>
      </c>
      <c r="R105" s="44">
        <f ca="1">月次返済表!H107</f>
        <v>52451.378018891824</v>
      </c>
      <c r="S105" s="44">
        <f ca="1">月次返済表!I107</f>
        <v>66631.03029910507</v>
      </c>
      <c r="T105" s="44">
        <f ca="1">月次返済表!R107</f>
        <v>121667.61455625904</v>
      </c>
      <c r="U105" s="44">
        <f ca="1">月次返済表!G107</f>
        <v>119082.40831799689</v>
      </c>
      <c r="V105" s="44"/>
      <c r="W105" s="44">
        <f t="shared" ca="1" si="0"/>
        <v>28565.824438903801</v>
      </c>
      <c r="X105" s="44">
        <f t="shared" ca="1" si="1"/>
        <v>31151.030677165953</v>
      </c>
    </row>
    <row r="106" spans="15:24">
      <c r="O106" s="43" t="str">
        <f>TEXT((月次返済表!A108-1)/12,"0.0")</f>
        <v>8.5</v>
      </c>
      <c r="P106" s="44">
        <f ca="1">月次返済表!S108</f>
        <v>58897.316359654535</v>
      </c>
      <c r="Q106" s="44">
        <f ca="1">月次返済表!T108</f>
        <v>62770.298196604504</v>
      </c>
      <c r="R106" s="44">
        <f ca="1">月次返済表!H108</f>
        <v>52312.563372435347</v>
      </c>
      <c r="S106" s="44">
        <f ca="1">月次返済表!I108</f>
        <v>66769.844945561548</v>
      </c>
      <c r="T106" s="44">
        <f ca="1">月次返済表!R108</f>
        <v>121667.61455625904</v>
      </c>
      <c r="U106" s="44">
        <f ca="1">月次返済表!G108</f>
        <v>119082.40831799689</v>
      </c>
      <c r="V106" s="44"/>
      <c r="W106" s="44">
        <f t="shared" ca="1" si="0"/>
        <v>28565.824438903801</v>
      </c>
      <c r="X106" s="44">
        <f t="shared" ca="1" si="1"/>
        <v>31151.030677165953</v>
      </c>
    </row>
    <row r="107" spans="15:24">
      <c r="O107" s="43" t="str">
        <f>TEXT((月次返済表!A109-1)/12,"0.0")</f>
        <v>8.6</v>
      </c>
      <c r="P107" s="44">
        <f ca="1">月次返済表!S109</f>
        <v>58766.544905078277</v>
      </c>
      <c r="Q107" s="44">
        <f ca="1">月次返済表!T109</f>
        <v>62901.069651180762</v>
      </c>
      <c r="R107" s="44">
        <f ca="1">月次返済表!H109</f>
        <v>52173.459528798769</v>
      </c>
      <c r="S107" s="44">
        <f ca="1">月次返済表!I109</f>
        <v>66908.948789198126</v>
      </c>
      <c r="T107" s="44">
        <f ca="1">月次返済表!R109</f>
        <v>121667.61455625904</v>
      </c>
      <c r="U107" s="44">
        <f ca="1">月次返済表!G109</f>
        <v>119082.40831799689</v>
      </c>
      <c r="V107" s="44"/>
      <c r="W107" s="44">
        <f t="shared" ca="1" si="0"/>
        <v>28565.824438903801</v>
      </c>
      <c r="X107" s="44">
        <f t="shared" ca="1" si="1"/>
        <v>31151.030677165953</v>
      </c>
    </row>
    <row r="108" spans="15:24">
      <c r="O108" s="43" t="str">
        <f>TEXT((月次返済表!A110-1)/12,"0.0")</f>
        <v>8.7</v>
      </c>
      <c r="P108" s="44">
        <f ca="1">月次返済表!S110</f>
        <v>58635.501009971653</v>
      </c>
      <c r="Q108" s="44">
        <f ca="1">月次返済表!T110</f>
        <v>63032.113546287386</v>
      </c>
      <c r="R108" s="44">
        <f ca="1">月次返済表!H110</f>
        <v>52034.065885487937</v>
      </c>
      <c r="S108" s="44">
        <f ca="1">月次返済表!I110</f>
        <v>67048.342432508944</v>
      </c>
      <c r="T108" s="44">
        <f ca="1">月次返済表!R110</f>
        <v>121667.61455625904</v>
      </c>
      <c r="U108" s="44">
        <f ca="1">月次返済表!G110</f>
        <v>119082.40831799689</v>
      </c>
      <c r="V108" s="44"/>
      <c r="W108" s="44">
        <f t="shared" ca="1" si="0"/>
        <v>28565.824438903801</v>
      </c>
      <c r="X108" s="44">
        <f t="shared" ca="1" si="1"/>
        <v>31151.030677165953</v>
      </c>
    </row>
    <row r="109" spans="15:24">
      <c r="O109" s="43" t="str">
        <f>TEXT((月次返済表!A111-1)/12,"0.0")</f>
        <v>8.8</v>
      </c>
      <c r="P109" s="44">
        <f ca="1">月次返済表!S111</f>
        <v>58504.184106750217</v>
      </c>
      <c r="Q109" s="44">
        <f ca="1">月次返済表!T111</f>
        <v>63163.430449508822</v>
      </c>
      <c r="R109" s="44">
        <f ca="1">月次返済表!H111</f>
        <v>51894.381838753536</v>
      </c>
      <c r="S109" s="44">
        <f ca="1">月次返済表!I111</f>
        <v>67188.026479243359</v>
      </c>
      <c r="T109" s="44">
        <f ca="1">月次返済表!R111</f>
        <v>121667.61455625904</v>
      </c>
      <c r="U109" s="44">
        <f ca="1">月次返済表!G111</f>
        <v>119082.40831799689</v>
      </c>
      <c r="V109" s="44"/>
      <c r="W109" s="44">
        <f t="shared" ca="1" si="0"/>
        <v>28565.824438903801</v>
      </c>
      <c r="X109" s="44">
        <f t="shared" ca="1" si="1"/>
        <v>31151.030677165953</v>
      </c>
    </row>
    <row r="110" spans="15:24">
      <c r="O110" s="43" t="str">
        <f>TEXT((月次返済表!A112-1)/12,"0.0")</f>
        <v>8.8</v>
      </c>
      <c r="P110" s="44">
        <f ca="1">月次返済表!S112</f>
        <v>58372.593626647082</v>
      </c>
      <c r="Q110" s="44">
        <f ca="1">月次返済表!T112</f>
        <v>63295.020929611957</v>
      </c>
      <c r="R110" s="44">
        <f ca="1">月次返済表!H112</f>
        <v>51754.406783588456</v>
      </c>
      <c r="S110" s="44">
        <f ca="1">月次返済表!I112</f>
        <v>67328.001534408424</v>
      </c>
      <c r="T110" s="44">
        <f ca="1">月次返済表!R112</f>
        <v>121667.61455625904</v>
      </c>
      <c r="U110" s="44">
        <f ca="1">月次返済表!G112</f>
        <v>119082.40831799689</v>
      </c>
      <c r="V110" s="44"/>
      <c r="W110" s="44">
        <f t="shared" ca="1" si="0"/>
        <v>28565.824438903801</v>
      </c>
      <c r="X110" s="44">
        <f t="shared" ca="1" si="1"/>
        <v>31151.030677165953</v>
      </c>
    </row>
    <row r="111" spans="15:24">
      <c r="O111" s="43" t="str">
        <f>TEXT((月次返済表!A113-1)/12,"0.0")</f>
        <v>8.9</v>
      </c>
      <c r="P111" s="44">
        <f ca="1">月次返済表!S113</f>
        <v>58240.728999710387</v>
      </c>
      <c r="Q111" s="44">
        <f ca="1">月次返済表!T113</f>
        <v>63426.885556548652</v>
      </c>
      <c r="R111" s="44">
        <f ca="1">月次返済表!H113</f>
        <v>51614.140113725094</v>
      </c>
      <c r="S111" s="44">
        <f ca="1">月次返済表!I113</f>
        <v>67468.268204271793</v>
      </c>
      <c r="T111" s="44">
        <f ca="1">月次返済表!R113</f>
        <v>121667.61455625904</v>
      </c>
      <c r="U111" s="44">
        <f ca="1">月次返済表!G113</f>
        <v>119082.40831799689</v>
      </c>
      <c r="V111" s="44"/>
      <c r="W111" s="44">
        <f t="shared" ca="1" si="0"/>
        <v>28565.824438903801</v>
      </c>
      <c r="X111" s="44">
        <f t="shared" ca="1" si="1"/>
        <v>31151.030677165953</v>
      </c>
    </row>
    <row r="112" spans="15:24">
      <c r="O112" s="43" t="str">
        <f>TEXT((月次返済表!A114-1)/12,"0.0")</f>
        <v>9.0</v>
      </c>
      <c r="P112" s="44">
        <f ca="1">月次返済表!S114</f>
        <v>58108.589654800911</v>
      </c>
      <c r="Q112" s="44">
        <f ca="1">月次返済表!T114</f>
        <v>63559.024901458128</v>
      </c>
      <c r="R112" s="44">
        <f ca="1">月次返済表!H114</f>
        <v>51473.581221632863</v>
      </c>
      <c r="S112" s="44">
        <f ca="1">月次返済表!I114</f>
        <v>67608.827096364024</v>
      </c>
      <c r="T112" s="44">
        <f ca="1">月次返済表!R114</f>
        <v>121667.61455625904</v>
      </c>
      <c r="U112" s="44">
        <f ca="1">月次返済表!G114</f>
        <v>119082.40831799689</v>
      </c>
      <c r="V112" s="44"/>
      <c r="W112" s="44">
        <f t="shared" ca="1" si="0"/>
        <v>28565.824438903801</v>
      </c>
      <c r="X112" s="44">
        <f t="shared" ca="1" si="1"/>
        <v>31151.030677165953</v>
      </c>
    </row>
    <row r="113" spans="15:24">
      <c r="O113" s="43" t="str">
        <f>TEXT((月次返済表!A115-1)/12,"0.0")</f>
        <v>9.1</v>
      </c>
      <c r="P113" s="44">
        <f ca="1">月次返済表!S115</f>
        <v>57976.175019589544</v>
      </c>
      <c r="Q113" s="44">
        <f ca="1">月次返済表!T115</f>
        <v>63691.439536669495</v>
      </c>
      <c r="R113" s="44">
        <f ca="1">月次返済表!H115</f>
        <v>51332.729498515437</v>
      </c>
      <c r="S113" s="44">
        <f ca="1">月次返済表!I115</f>
        <v>67749.678819481458</v>
      </c>
      <c r="T113" s="44">
        <f ca="1">月次返済表!R115</f>
        <v>121667.61455625904</v>
      </c>
      <c r="U113" s="44">
        <f ca="1">月次返済表!G115</f>
        <v>119082.40831799689</v>
      </c>
      <c r="V113" s="44"/>
      <c r="W113" s="44">
        <f t="shared" ca="1" si="0"/>
        <v>28565.824438903801</v>
      </c>
      <c r="X113" s="44">
        <f t="shared" ca="1" si="1"/>
        <v>31151.030677165953</v>
      </c>
    </row>
    <row r="114" spans="15:24">
      <c r="O114" s="43" t="str">
        <f>TEXT((月次返済表!A116-1)/12,"0.0")</f>
        <v>9.2</v>
      </c>
      <c r="P114" s="44">
        <f ca="1">月次返済表!S116</f>
        <v>57843.484520554812</v>
      </c>
      <c r="Q114" s="44">
        <f ca="1">月次返済表!T116</f>
        <v>63824.130035704227</v>
      </c>
      <c r="R114" s="44">
        <f ca="1">月次返済表!H116</f>
        <v>51191.584334308187</v>
      </c>
      <c r="S114" s="44">
        <f ca="1">月次返済表!I116</f>
        <v>67890.823983688693</v>
      </c>
      <c r="T114" s="44">
        <f ca="1">月次返済表!R116</f>
        <v>121667.61455625904</v>
      </c>
      <c r="U114" s="44">
        <f ca="1">月次返済表!G116</f>
        <v>119082.40831799689</v>
      </c>
      <c r="V114" s="44"/>
      <c r="W114" s="44">
        <f t="shared" ca="1" si="0"/>
        <v>28565.824438903801</v>
      </c>
      <c r="X114" s="44">
        <f t="shared" ca="1" si="1"/>
        <v>31151.030677165953</v>
      </c>
    </row>
    <row r="115" spans="15:24">
      <c r="O115" s="43" t="str">
        <f>TEXT((月次返済表!A117-1)/12,"0.0")</f>
        <v>9.3</v>
      </c>
      <c r="P115" s="44">
        <f ca="1">月次返済表!S117</f>
        <v>57710.517582980428</v>
      </c>
      <c r="Q115" s="44">
        <f ca="1">月次返済表!T117</f>
        <v>63957.096973278611</v>
      </c>
      <c r="R115" s="44">
        <f ca="1">月次返済表!H117</f>
        <v>51050.1451176755</v>
      </c>
      <c r="S115" s="44">
        <f ca="1">月次返済表!I117</f>
        <v>68032.26320032138</v>
      </c>
      <c r="T115" s="44">
        <f ca="1">月次返済表!R117</f>
        <v>121667.61455625904</v>
      </c>
      <c r="U115" s="44">
        <f ca="1">月次返済表!G117</f>
        <v>119082.40831799689</v>
      </c>
      <c r="V115" s="44"/>
      <c r="W115" s="44">
        <f t="shared" ca="1" si="0"/>
        <v>28565.824438903801</v>
      </c>
      <c r="X115" s="44">
        <f t="shared" ca="1" si="1"/>
        <v>31151.030677165953</v>
      </c>
    </row>
    <row r="116" spans="15:24">
      <c r="O116" s="43" t="str">
        <f>TEXT((月次返済表!A118-1)/12,"0.0")</f>
        <v>9.3</v>
      </c>
      <c r="P116" s="44">
        <f ca="1">月次返済表!S118</f>
        <v>57577.273630952775</v>
      </c>
      <c r="Q116" s="44">
        <f ca="1">月次返済表!T118</f>
        <v>64090.340925306264</v>
      </c>
      <c r="R116" s="44">
        <f ca="1">月次返済表!H118</f>
        <v>50908.411236008164</v>
      </c>
      <c r="S116" s="44">
        <f ca="1">月次返済表!I118</f>
        <v>68173.997081988724</v>
      </c>
      <c r="T116" s="44">
        <f ca="1">月次返済表!R118</f>
        <v>121667.61455625904</v>
      </c>
      <c r="U116" s="44">
        <f ca="1">月次返済表!G118</f>
        <v>119082.40831799689</v>
      </c>
      <c r="V116" s="44"/>
      <c r="W116" s="44">
        <f t="shared" ca="1" si="0"/>
        <v>28565.824438903801</v>
      </c>
      <c r="X116" s="44">
        <f t="shared" ca="1" si="1"/>
        <v>31151.030677165953</v>
      </c>
    </row>
    <row r="117" spans="15:24">
      <c r="O117" s="43" t="str">
        <f>TEXT((月次返済表!A119-1)/12,"0.0")</f>
        <v>9.4</v>
      </c>
      <c r="P117" s="44">
        <f ca="1">月次返済表!S119</f>
        <v>57443.752087358385</v>
      </c>
      <c r="Q117" s="44">
        <f ca="1">月次返済表!T119</f>
        <v>64223.862468900654</v>
      </c>
      <c r="R117" s="44">
        <f ca="1">月次返済表!H119</f>
        <v>50766.38207542069</v>
      </c>
      <c r="S117" s="44">
        <f ca="1">月次返済表!I119</f>
        <v>68316.02624257619</v>
      </c>
      <c r="T117" s="44">
        <f ca="1">月次返済表!R119</f>
        <v>121667.61455625904</v>
      </c>
      <c r="U117" s="44">
        <f ca="1">月次返済表!G119</f>
        <v>119082.40831799689</v>
      </c>
      <c r="V117" s="44"/>
      <c r="W117" s="44">
        <f t="shared" ca="1" si="0"/>
        <v>28565.824438903801</v>
      </c>
      <c r="X117" s="44">
        <f t="shared" ca="1" si="1"/>
        <v>31151.030677165953</v>
      </c>
    </row>
    <row r="118" spans="15:24">
      <c r="O118" s="43" t="str">
        <f>TEXT((月次返済表!A120-1)/12,"0.0")</f>
        <v>9.5</v>
      </c>
      <c r="P118" s="44">
        <f ca="1">月次返済表!S120</f>
        <v>57309.952373881504</v>
      </c>
      <c r="Q118" s="44">
        <f ca="1">月次返済表!T120</f>
        <v>64357.662182377535</v>
      </c>
      <c r="R118" s="44">
        <f ca="1">月次返済表!H120</f>
        <v>50624.057020748653</v>
      </c>
      <c r="S118" s="44">
        <f ca="1">月次返済表!I120</f>
        <v>68458.351297248242</v>
      </c>
      <c r="T118" s="44">
        <f ca="1">月次返済表!R120</f>
        <v>121667.61455625904</v>
      </c>
      <c r="U118" s="44">
        <f ca="1">月次返済表!G120</f>
        <v>119082.40831799689</v>
      </c>
      <c r="V118" s="44"/>
      <c r="W118" s="44">
        <f t="shared" ca="1" si="0"/>
        <v>28565.824438903801</v>
      </c>
      <c r="X118" s="44">
        <f t="shared" ca="1" si="1"/>
        <v>31151.030677165953</v>
      </c>
    </row>
    <row r="119" spans="15:24">
      <c r="O119" s="43" t="str">
        <f>TEXT((月次返済表!A121-1)/12,"0.0")</f>
        <v>9.6</v>
      </c>
      <c r="P119" s="44">
        <f ca="1">月次返済表!S121</f>
        <v>57175.873911001552</v>
      </c>
      <c r="Q119" s="44">
        <f ca="1">月次返済表!T121</f>
        <v>64491.740645257487</v>
      </c>
      <c r="R119" s="44">
        <f ca="1">月次返済表!H121</f>
        <v>50481.435455546052</v>
      </c>
      <c r="S119" s="44">
        <f ca="1">月次返済表!I121</f>
        <v>68600.972862450843</v>
      </c>
      <c r="T119" s="44">
        <f ca="1">月次返済表!R121</f>
        <v>121667.61455625904</v>
      </c>
      <c r="U119" s="44">
        <f ca="1">月次返済表!G121</f>
        <v>119082.40831799689</v>
      </c>
      <c r="V119" s="44"/>
      <c r="W119" s="44">
        <f t="shared" ca="1" si="0"/>
        <v>28565.824438903801</v>
      </c>
      <c r="X119" s="44">
        <f t="shared" ca="1" si="1"/>
        <v>31151.030677165953</v>
      </c>
    </row>
    <row r="120" spans="15:24">
      <c r="O120" s="43" t="str">
        <f>TEXT((月次返済表!A122-1)/12,"0.0")</f>
        <v>9.7</v>
      </c>
      <c r="P120" s="44">
        <f ca="1">月次返済表!S122</f>
        <v>57041.516117990599</v>
      </c>
      <c r="Q120" s="44">
        <f ca="1">月次返済表!T122</f>
        <v>64626.09843826844</v>
      </c>
      <c r="R120" s="44">
        <f ca="1">月次返済表!H122</f>
        <v>50338.516762082611</v>
      </c>
      <c r="S120" s="44">
        <f ca="1">月次返済表!I122</f>
        <v>68743.891555914277</v>
      </c>
      <c r="T120" s="44">
        <f ca="1">月次返済表!R122</f>
        <v>121667.61455625904</v>
      </c>
      <c r="U120" s="44">
        <f ca="1">月次返済表!G122</f>
        <v>119082.40831799689</v>
      </c>
      <c r="V120" s="44"/>
      <c r="W120" s="44">
        <f t="shared" ca="1" si="0"/>
        <v>28565.824438903801</v>
      </c>
      <c r="X120" s="44">
        <f t="shared" ca="1" si="1"/>
        <v>31151.030677165953</v>
      </c>
    </row>
    <row r="121" spans="15:24">
      <c r="O121" s="43" t="str">
        <f>TEXT((月次返済表!A123-1)/12,"0.0")</f>
        <v>9.8</v>
      </c>
      <c r="P121" s="44">
        <f ca="1">月次返済表!S123</f>
        <v>56906.878412910883</v>
      </c>
      <c r="Q121" s="44">
        <f ca="1">月次返済表!T123</f>
        <v>64760.736143348156</v>
      </c>
      <c r="R121" s="44">
        <f ca="1">月次返済表!H123</f>
        <v>50195.300321341136</v>
      </c>
      <c r="S121" s="44">
        <f ca="1">月次返済表!I123</f>
        <v>68887.107996655745</v>
      </c>
      <c r="T121" s="44">
        <f ca="1">月次返済表!R123</f>
        <v>121667.61455625904</v>
      </c>
      <c r="U121" s="44">
        <f ca="1">月次返済表!G123</f>
        <v>119082.40831799689</v>
      </c>
      <c r="V121" s="44"/>
      <c r="W121" s="44">
        <f t="shared" ca="1" si="0"/>
        <v>28565.824438903801</v>
      </c>
      <c r="X121" s="44">
        <f t="shared" ca="1" si="1"/>
        <v>31151.030677165953</v>
      </c>
    </row>
    <row r="122" spans="15:24">
      <c r="O122" s="43" t="str">
        <f>TEXT((月次返済表!A124-1)/12,"0.0")</f>
        <v>9.8</v>
      </c>
      <c r="P122" s="44">
        <f ca="1">月次返済表!S124</f>
        <v>56771.960212612241</v>
      </c>
      <c r="Q122" s="44">
        <f ca="1">月次返済表!T124</f>
        <v>64895.654343646798</v>
      </c>
      <c r="R122" s="44">
        <f ca="1">月次返済表!H124</f>
        <v>50051.785513014758</v>
      </c>
      <c r="S122" s="44">
        <f ca="1">月次返済表!I124</f>
        <v>69030.622804982122</v>
      </c>
      <c r="T122" s="44">
        <f ca="1">月次返済表!R124</f>
        <v>121667.61455625904</v>
      </c>
      <c r="U122" s="44">
        <f ca="1">月次返済表!G124</f>
        <v>119082.40831799689</v>
      </c>
      <c r="V122" s="44"/>
      <c r="W122" s="44">
        <f t="shared" ca="1" si="0"/>
        <v>28565.824438903801</v>
      </c>
      <c r="X122" s="44">
        <f t="shared" ca="1" si="1"/>
        <v>31151.030677165953</v>
      </c>
    </row>
    <row r="123" spans="15:24">
      <c r="O123" s="43" t="str">
        <f>TEXT((月次返済表!A125-1)/12,"0.0")</f>
        <v>9.9</v>
      </c>
      <c r="P123" s="44">
        <f ca="1">月次返済表!S125</f>
        <v>56636.760932729645</v>
      </c>
      <c r="Q123" s="44">
        <f ca="1">月次返済表!T125</f>
        <v>65030.853623529394</v>
      </c>
      <c r="R123" s="44">
        <f ca="1">月次返済表!H125</f>
        <v>49907.971715504384</v>
      </c>
      <c r="S123" s="44">
        <f ca="1">月次返済表!I125</f>
        <v>69174.436602492497</v>
      </c>
      <c r="T123" s="44">
        <f ca="1">月次返済表!R125</f>
        <v>121667.61455625904</v>
      </c>
      <c r="U123" s="44">
        <f ca="1">月次返済表!G125</f>
        <v>119082.40831799689</v>
      </c>
      <c r="V123" s="44"/>
      <c r="W123" s="44">
        <f t="shared" ca="1" si="0"/>
        <v>28565.824438903801</v>
      </c>
      <c r="X123" s="44">
        <f t="shared" ca="1" si="1"/>
        <v>31151.030677165953</v>
      </c>
    </row>
    <row r="124" spans="15:24">
      <c r="O124" s="43" t="str">
        <f>TEXT((月次返済表!A126-1)/12,"0.0")</f>
        <v>10.0</v>
      </c>
      <c r="P124" s="44">
        <f ca="1">月次返済表!S126</f>
        <v>67801.535985216746</v>
      </c>
      <c r="Q124" s="44">
        <f ca="1">月次返済表!T126</f>
        <v>60807.485859256558</v>
      </c>
      <c r="R124" s="44">
        <f ca="1">月次返済表!H126</f>
        <v>59716.629967099027</v>
      </c>
      <c r="S124" s="44">
        <f ca="1">月次返済表!I126</f>
        <v>65336.362675933138</v>
      </c>
      <c r="T124" s="44">
        <f ca="1">月次返済表!R126</f>
        <v>128609.0218444733</v>
      </c>
      <c r="U124" s="44">
        <f ca="1">月次返済表!G126</f>
        <v>125052.99264303216</v>
      </c>
      <c r="V124" s="44"/>
      <c r="W124" s="44">
        <f t="shared" ca="1" si="0"/>
        <v>21624.417150689536</v>
      </c>
      <c r="X124" s="44">
        <f t="shared" ca="1" si="1"/>
        <v>25180.446352130675</v>
      </c>
    </row>
    <row r="125" spans="15:24">
      <c r="O125" s="43" t="str">
        <f>TEXT((月次返済表!A127-1)/12,"0.0")</f>
        <v>10.1</v>
      </c>
      <c r="P125" s="44">
        <f ca="1">月次返済表!S127</f>
        <v>67649.517270568598</v>
      </c>
      <c r="Q125" s="44">
        <f ca="1">月次返済表!T127</f>
        <v>60959.504573904705</v>
      </c>
      <c r="R125" s="44">
        <f ca="1">月次返済表!H127</f>
        <v>59553.289060409203</v>
      </c>
      <c r="S125" s="44">
        <f ca="1">月次返済表!I127</f>
        <v>65499.703582622962</v>
      </c>
      <c r="T125" s="44">
        <f ca="1">月次返済表!R127</f>
        <v>128609.0218444733</v>
      </c>
      <c r="U125" s="44">
        <f ca="1">月次返済表!G127</f>
        <v>125052.99264303216</v>
      </c>
      <c r="V125" s="44"/>
      <c r="W125" s="44">
        <f t="shared" ca="1" si="0"/>
        <v>21624.417150689536</v>
      </c>
      <c r="X125" s="44">
        <f t="shared" ca="1" si="1"/>
        <v>25180.446352130675</v>
      </c>
    </row>
    <row r="126" spans="15:24">
      <c r="O126" s="43" t="str">
        <f>TEXT((月次返済表!A128-1)/12,"0.0")</f>
        <v>10.2</v>
      </c>
      <c r="P126" s="44">
        <f ca="1">月次返済表!S128</f>
        <v>67497.118509133856</v>
      </c>
      <c r="Q126" s="44">
        <f ca="1">月次返済表!T128</f>
        <v>61111.903335339448</v>
      </c>
      <c r="R126" s="44">
        <f ca="1">月次返済表!H128</f>
        <v>59389.539801452636</v>
      </c>
      <c r="S126" s="44">
        <f ca="1">月次返済表!I128</f>
        <v>65663.452841579536</v>
      </c>
      <c r="T126" s="44">
        <f ca="1">月次返済表!R128</f>
        <v>128609.0218444733</v>
      </c>
      <c r="U126" s="44">
        <f ca="1">月次返済表!G128</f>
        <v>125052.99264303216</v>
      </c>
      <c r="V126" s="44"/>
      <c r="W126" s="44">
        <f t="shared" ca="1" si="0"/>
        <v>21624.417150689536</v>
      </c>
      <c r="X126" s="44">
        <f t="shared" ca="1" si="1"/>
        <v>25180.446352130675</v>
      </c>
    </row>
    <row r="127" spans="15:24">
      <c r="O127" s="43" t="str">
        <f>TEXT((月次返済表!A129-1)/12,"0.0")</f>
        <v>10.3</v>
      </c>
      <c r="P127" s="44">
        <f ca="1">月次返済表!S129</f>
        <v>67344.338750795505</v>
      </c>
      <c r="Q127" s="44">
        <f ca="1">月次返済表!T129</f>
        <v>61264.683093677799</v>
      </c>
      <c r="R127" s="44">
        <f ca="1">月次返済表!H129</f>
        <v>59225.381169348693</v>
      </c>
      <c r="S127" s="44">
        <f ca="1">月次返済表!I129</f>
        <v>65827.611473683472</v>
      </c>
      <c r="T127" s="44">
        <f ca="1">月次返済表!R129</f>
        <v>128609.0218444733</v>
      </c>
      <c r="U127" s="44">
        <f ca="1">月次返済表!G129</f>
        <v>125052.99264303216</v>
      </c>
      <c r="V127" s="44"/>
      <c r="W127" s="44">
        <f t="shared" ca="1" si="0"/>
        <v>21624.417150689536</v>
      </c>
      <c r="X127" s="44">
        <f t="shared" ca="1" si="1"/>
        <v>25180.446352130675</v>
      </c>
    </row>
    <row r="128" spans="15:24">
      <c r="O128" s="43" t="str">
        <f>TEXT((月次返済表!A130-1)/12,"0.0")</f>
        <v>10.3</v>
      </c>
      <c r="P128" s="44">
        <f ca="1">月次返済表!S130</f>
        <v>67191.177043061296</v>
      </c>
      <c r="Q128" s="44">
        <f ca="1">月次返済表!T130</f>
        <v>61417.844801412008</v>
      </c>
      <c r="R128" s="44">
        <f ca="1">月次返済表!H130</f>
        <v>59060.812140664486</v>
      </c>
      <c r="S128" s="44">
        <f ca="1">月次返済表!I130</f>
        <v>65992.180502367672</v>
      </c>
      <c r="T128" s="44">
        <f ca="1">月次返済表!R130</f>
        <v>128609.0218444733</v>
      </c>
      <c r="U128" s="44">
        <f ca="1">月次返済表!G130</f>
        <v>125052.99264303216</v>
      </c>
      <c r="V128" s="44"/>
      <c r="W128" s="44">
        <f t="shared" ca="1" si="0"/>
        <v>21624.417150689536</v>
      </c>
      <c r="X128" s="44">
        <f t="shared" ca="1" si="1"/>
        <v>25180.446352130675</v>
      </c>
    </row>
    <row r="129" spans="15:24">
      <c r="O129" s="43" t="str">
        <f>TEXT((月次返済表!A131-1)/12,"0.0")</f>
        <v>10.4</v>
      </c>
      <c r="P129" s="44">
        <f ca="1">月次返済表!S131</f>
        <v>67037.632431057777</v>
      </c>
      <c r="Q129" s="44">
        <f ca="1">月次返済表!T131</f>
        <v>61571.389413415527</v>
      </c>
      <c r="R129" s="44">
        <f ca="1">月次返済表!H131</f>
        <v>58895.831689408573</v>
      </c>
      <c r="S129" s="44">
        <f ca="1">月次返済表!I131</f>
        <v>66157.160953623592</v>
      </c>
      <c r="T129" s="44">
        <f ca="1">月次返済表!R131</f>
        <v>128609.0218444733</v>
      </c>
      <c r="U129" s="44">
        <f ca="1">月次返済表!G131</f>
        <v>125052.99264303216</v>
      </c>
      <c r="V129" s="44"/>
      <c r="W129" s="44">
        <f t="shared" ca="1" si="0"/>
        <v>21624.417150689536</v>
      </c>
      <c r="X129" s="44">
        <f t="shared" ca="1" si="1"/>
        <v>25180.446352130675</v>
      </c>
    </row>
    <row r="130" spans="15:24">
      <c r="O130" s="43" t="str">
        <f>TEXT((月次返済表!A132-1)/12,"0.0")</f>
        <v>10.5</v>
      </c>
      <c r="P130" s="44">
        <f ca="1">月次返済表!S132</f>
        <v>66883.703957524223</v>
      </c>
      <c r="Q130" s="44">
        <f ca="1">月次返済表!T132</f>
        <v>61725.31788694908</v>
      </c>
      <c r="R130" s="44">
        <f ca="1">月次返済表!H132</f>
        <v>58730.438787024519</v>
      </c>
      <c r="S130" s="44">
        <f ca="1">月次返済表!I132</f>
        <v>66322.553856007638</v>
      </c>
      <c r="T130" s="44">
        <f ca="1">月次返済表!R132</f>
        <v>128609.0218444733</v>
      </c>
      <c r="U130" s="44">
        <f ca="1">月次返済表!G132</f>
        <v>125052.99264303216</v>
      </c>
      <c r="V130" s="44"/>
      <c r="W130" s="44">
        <f t="shared" ca="1" si="0"/>
        <v>21624.417150689536</v>
      </c>
      <c r="X130" s="44">
        <f t="shared" ca="1" si="1"/>
        <v>25180.446352130675</v>
      </c>
    </row>
    <row r="131" spans="15:24">
      <c r="O131" s="43" t="str">
        <f>TEXT((月次返済表!A133-1)/12,"0.0")</f>
        <v>10.6</v>
      </c>
      <c r="P131" s="44">
        <f ca="1">月次返済表!S133</f>
        <v>66729.390662806865</v>
      </c>
      <c r="Q131" s="44">
        <f ca="1">月次返済表!T133</f>
        <v>61879.631181666438</v>
      </c>
      <c r="R131" s="44">
        <f ca="1">月次返済表!H133</f>
        <v>58564.632402384486</v>
      </c>
      <c r="S131" s="44">
        <f ca="1">月次返済表!I133</f>
        <v>66488.360240647686</v>
      </c>
      <c r="T131" s="44">
        <f ca="1">月次返済表!R133</f>
        <v>128609.0218444733</v>
      </c>
      <c r="U131" s="44">
        <f ca="1">月次返済表!G133</f>
        <v>125052.99264303216</v>
      </c>
      <c r="V131" s="44"/>
      <c r="W131" s="44">
        <f t="shared" ca="1" si="0"/>
        <v>21624.417150689536</v>
      </c>
      <c r="X131" s="44">
        <f t="shared" ca="1" si="1"/>
        <v>25180.446352130675</v>
      </c>
    </row>
    <row r="132" spans="15:24">
      <c r="O132" s="43" t="str">
        <f>TEXT((月次返済表!A134-1)/12,"0.0")</f>
        <v>10.7</v>
      </c>
      <c r="P132" s="44">
        <f ca="1">月次返済表!S134</f>
        <v>66574.691584852699</v>
      </c>
      <c r="Q132" s="44">
        <f ca="1">月次返済表!T134</f>
        <v>62034.330259620605</v>
      </c>
      <c r="R132" s="44">
        <f ca="1">月次返済表!H134</f>
        <v>58398.411501782866</v>
      </c>
      <c r="S132" s="44">
        <f ca="1">月次返済表!I134</f>
        <v>66654.581141249306</v>
      </c>
      <c r="T132" s="44">
        <f ca="1">月次返済表!R134</f>
        <v>128609.0218444733</v>
      </c>
      <c r="U132" s="44">
        <f ca="1">月次返済表!G134</f>
        <v>125052.99264303216</v>
      </c>
      <c r="V132" s="44"/>
      <c r="W132" s="44">
        <f t="shared" ref="W132:W195" ca="1" si="2">$V$6-T132</f>
        <v>21624.417150689536</v>
      </c>
      <c r="X132" s="44">
        <f t="shared" ref="X132:X195" ca="1" si="3">$V$6-U132</f>
        <v>25180.446352130675</v>
      </c>
    </row>
    <row r="133" spans="15:24">
      <c r="O133" s="43" t="str">
        <f>TEXT((月次返済表!A135-1)/12,"0.0")</f>
        <v>10.8</v>
      </c>
      <c r="P133" s="44">
        <f ca="1">月次返済表!S135</f>
        <v>66419.605759203652</v>
      </c>
      <c r="Q133" s="44">
        <f ca="1">月次返済表!T135</f>
        <v>62189.416085269651</v>
      </c>
      <c r="R133" s="44">
        <f ca="1">月次返済表!H135</f>
        <v>58231.775048929754</v>
      </c>
      <c r="S133" s="44">
        <f ca="1">月次返済表!I135</f>
        <v>66821.217594102403</v>
      </c>
      <c r="T133" s="44">
        <f ca="1">月次返済表!R135</f>
        <v>128609.0218444733</v>
      </c>
      <c r="U133" s="44">
        <f ca="1">月次返済表!G135</f>
        <v>125052.99264303216</v>
      </c>
      <c r="V133" s="44"/>
      <c r="W133" s="44">
        <f t="shared" ca="1" si="2"/>
        <v>21624.417150689536</v>
      </c>
      <c r="X133" s="44">
        <f t="shared" ca="1" si="3"/>
        <v>25180.446352130675</v>
      </c>
    </row>
    <row r="134" spans="15:24">
      <c r="O134" s="43" t="str">
        <f>TEXT((月次返済表!A136-1)/12,"0.0")</f>
        <v>10.8</v>
      </c>
      <c r="P134" s="44">
        <f ca="1">月次返済表!S136</f>
        <v>66264.132218990475</v>
      </c>
      <c r="Q134" s="44">
        <f ca="1">月次返済表!T136</f>
        <v>62344.889625482829</v>
      </c>
      <c r="R134" s="44">
        <f ca="1">月次返済表!H136</f>
        <v>58064.722004944495</v>
      </c>
      <c r="S134" s="44">
        <f ca="1">月次返済表!I136</f>
        <v>66988.270638087677</v>
      </c>
      <c r="T134" s="44">
        <f ca="1">月次返済表!R136</f>
        <v>128609.0218444733</v>
      </c>
      <c r="U134" s="44">
        <f ca="1">月次返済表!G136</f>
        <v>125052.99264303216</v>
      </c>
      <c r="V134" s="44"/>
      <c r="W134" s="44">
        <f t="shared" ca="1" si="2"/>
        <v>21624.417150689536</v>
      </c>
      <c r="X134" s="44">
        <f t="shared" ca="1" si="3"/>
        <v>25180.446352130675</v>
      </c>
    </row>
    <row r="135" spans="15:24">
      <c r="O135" s="43" t="str">
        <f>TEXT((月次返済表!A137-1)/12,"0.0")</f>
        <v>10.9</v>
      </c>
      <c r="P135" s="44">
        <f ca="1">月次返済表!S137</f>
        <v>66108.26999492677</v>
      </c>
      <c r="Q135" s="44">
        <f ca="1">月次返済表!T137</f>
        <v>62500.751849546534</v>
      </c>
      <c r="R135" s="44">
        <f ca="1">月次返済表!H137</f>
        <v>57897.251328349281</v>
      </c>
      <c r="S135" s="44">
        <f ca="1">月次返済表!I137</f>
        <v>67155.741314682877</v>
      </c>
      <c r="T135" s="44">
        <f ca="1">月次返済表!R137</f>
        <v>128609.0218444733</v>
      </c>
      <c r="U135" s="44">
        <f ca="1">月次返済表!G137</f>
        <v>125052.99264303216</v>
      </c>
      <c r="V135" s="44"/>
      <c r="W135" s="44">
        <f t="shared" ca="1" si="2"/>
        <v>21624.417150689536</v>
      </c>
      <c r="X135" s="44">
        <f t="shared" ca="1" si="3"/>
        <v>25180.446352130675</v>
      </c>
    </row>
    <row r="136" spans="15:24">
      <c r="O136" s="43" t="str">
        <f>TEXT((月次返済表!A138-1)/12,"0.0")</f>
        <v>11.0</v>
      </c>
      <c r="P136" s="44">
        <f ca="1">月次返済表!S138</f>
        <v>65952.018115302897</v>
      </c>
      <c r="Q136" s="44">
        <f ca="1">月次返済表!T138</f>
        <v>62657.003729170407</v>
      </c>
      <c r="R136" s="44">
        <f ca="1">月次返済表!H138</f>
        <v>57729.361975062573</v>
      </c>
      <c r="S136" s="44">
        <f ca="1">月次返済表!I138</f>
        <v>67323.630667969584</v>
      </c>
      <c r="T136" s="44">
        <f ca="1">月次返済表!R138</f>
        <v>128609.0218444733</v>
      </c>
      <c r="U136" s="44">
        <f ca="1">月次返済表!G138</f>
        <v>125052.99264303216</v>
      </c>
      <c r="V136" s="44"/>
      <c r="W136" s="44">
        <f t="shared" ca="1" si="2"/>
        <v>21624.417150689536</v>
      </c>
      <c r="X136" s="44">
        <f t="shared" ca="1" si="3"/>
        <v>25180.446352130675</v>
      </c>
    </row>
    <row r="137" spans="15:24">
      <c r="O137" s="43" t="str">
        <f>TEXT((月次返済表!A139-1)/12,"0.0")</f>
        <v>11.1</v>
      </c>
      <c r="P137" s="44">
        <f ca="1">月次返済表!S139</f>
        <v>65795.375605979978</v>
      </c>
      <c r="Q137" s="44">
        <f ca="1">月次返済表!T139</f>
        <v>62813.646238493326</v>
      </c>
      <c r="R137" s="44">
        <f ca="1">月次返済表!H139</f>
        <v>57561.052898392642</v>
      </c>
      <c r="S137" s="44">
        <f ca="1">月次返済表!I139</f>
        <v>67491.939744639531</v>
      </c>
      <c r="T137" s="44">
        <f ca="1">月次返済表!R139</f>
        <v>128609.0218444733</v>
      </c>
      <c r="U137" s="44">
        <f ca="1">月次返済表!G139</f>
        <v>125052.99264303216</v>
      </c>
      <c r="V137" s="44"/>
      <c r="W137" s="44">
        <f t="shared" ca="1" si="2"/>
        <v>21624.417150689536</v>
      </c>
      <c r="X137" s="44">
        <f t="shared" ca="1" si="3"/>
        <v>25180.446352130675</v>
      </c>
    </row>
    <row r="138" spans="15:24">
      <c r="O138" s="43" t="str">
        <f>TEXT((月次返済表!A140-1)/12,"0.0")</f>
        <v>11.2</v>
      </c>
      <c r="P138" s="44">
        <f ca="1">月次返済表!S140</f>
        <v>65638.34149038374</v>
      </c>
      <c r="Q138" s="44">
        <f ca="1">月次返済表!T140</f>
        <v>62970.680354089563</v>
      </c>
      <c r="R138" s="44">
        <f ca="1">月次返済表!H140</f>
        <v>57392.323049031045</v>
      </c>
      <c r="S138" s="44">
        <f ca="1">月次返済表!I140</f>
        <v>67660.669594001112</v>
      </c>
      <c r="T138" s="44">
        <f ca="1">月次返済表!R140</f>
        <v>128609.0218444733</v>
      </c>
      <c r="U138" s="44">
        <f ca="1">月次返済表!G140</f>
        <v>125052.99264303216</v>
      </c>
      <c r="V138" s="44"/>
      <c r="W138" s="44">
        <f t="shared" ca="1" si="2"/>
        <v>21624.417150689536</v>
      </c>
      <c r="X138" s="44">
        <f t="shared" ca="1" si="3"/>
        <v>25180.446352130675</v>
      </c>
    </row>
    <row r="139" spans="15:24">
      <c r="O139" s="43" t="str">
        <f>TEXT((月次返済表!A141-1)/12,"0.0")</f>
        <v>11.3</v>
      </c>
      <c r="P139" s="44">
        <f ca="1">月次返済表!S141</f>
        <v>65480.914789498514</v>
      </c>
      <c r="Q139" s="44">
        <f ca="1">月次返済表!T141</f>
        <v>63128.107054974789</v>
      </c>
      <c r="R139" s="44">
        <f ca="1">月次返済表!H141</f>
        <v>57223.171375046048</v>
      </c>
      <c r="S139" s="44">
        <f ca="1">月次返済表!I141</f>
        <v>67829.821267986117</v>
      </c>
      <c r="T139" s="44">
        <f ca="1">月次返済表!R141</f>
        <v>128609.0218444733</v>
      </c>
      <c r="U139" s="44">
        <f ca="1">月次返済表!G141</f>
        <v>125052.99264303216</v>
      </c>
      <c r="V139" s="44"/>
      <c r="W139" s="44">
        <f t="shared" ca="1" si="2"/>
        <v>21624.417150689536</v>
      </c>
      <c r="X139" s="44">
        <f t="shared" ca="1" si="3"/>
        <v>25180.446352130675</v>
      </c>
    </row>
    <row r="140" spans="15:24">
      <c r="O140" s="43" t="str">
        <f>TEXT((月次返済表!A142-1)/12,"0.0")</f>
        <v>11.3</v>
      </c>
      <c r="P140" s="44">
        <f ca="1">月次返済表!S142</f>
        <v>65323.09452186108</v>
      </c>
      <c r="Q140" s="44">
        <f ca="1">月次返済表!T142</f>
        <v>63285.927322612224</v>
      </c>
      <c r="R140" s="44">
        <f ca="1">月次返済表!H142</f>
        <v>57053.596821876075</v>
      </c>
      <c r="S140" s="44">
        <f ca="1">月次返済表!I142</f>
        <v>67999.395821156097</v>
      </c>
      <c r="T140" s="44">
        <f ca="1">月次返済表!R142</f>
        <v>128609.0218444733</v>
      </c>
      <c r="U140" s="44">
        <f ca="1">月次返済表!G142</f>
        <v>125052.99264303216</v>
      </c>
      <c r="V140" s="44"/>
      <c r="W140" s="44">
        <f t="shared" ca="1" si="2"/>
        <v>21624.417150689536</v>
      </c>
      <c r="X140" s="44">
        <f t="shared" ca="1" si="3"/>
        <v>25180.446352130675</v>
      </c>
    </row>
    <row r="141" spans="15:24">
      <c r="O141" s="43" t="str">
        <f>TEXT((月次返済表!A143-1)/12,"0.0")</f>
        <v>11.4</v>
      </c>
      <c r="P141" s="44">
        <f ca="1">月次返済表!S143</f>
        <v>65164.87970355455</v>
      </c>
      <c r="Q141" s="44">
        <f ca="1">月次返済表!T143</f>
        <v>63444.142140918753</v>
      </c>
      <c r="R141" s="44">
        <f ca="1">月次返済表!H143</f>
        <v>56883.598332323192</v>
      </c>
      <c r="S141" s="44">
        <f ca="1">月次返済表!I143</f>
        <v>68169.394310708973</v>
      </c>
      <c r="T141" s="44">
        <f ca="1">月次返済表!R143</f>
        <v>128609.0218444733</v>
      </c>
      <c r="U141" s="44">
        <f ca="1">月次返済表!G143</f>
        <v>125052.99264303216</v>
      </c>
      <c r="V141" s="44"/>
      <c r="W141" s="44">
        <f t="shared" ca="1" si="2"/>
        <v>21624.417150689536</v>
      </c>
      <c r="X141" s="44">
        <f t="shared" ca="1" si="3"/>
        <v>25180.446352130675</v>
      </c>
    </row>
    <row r="142" spans="15:24">
      <c r="O142" s="43" t="str">
        <f>TEXT((月次返済表!A144-1)/12,"0.0")</f>
        <v>11.5</v>
      </c>
      <c r="P142" s="44">
        <f ca="1">月次返済表!S144</f>
        <v>65006.269348202251</v>
      </c>
      <c r="Q142" s="44">
        <f ca="1">月次返済表!T144</f>
        <v>63602.752496271052</v>
      </c>
      <c r="R142" s="44">
        <f ca="1">月次返済表!H144</f>
        <v>56713.174846546412</v>
      </c>
      <c r="S142" s="44">
        <f ca="1">月次返済表!I144</f>
        <v>68339.81779648576</v>
      </c>
      <c r="T142" s="44">
        <f ca="1">月次返済表!R144</f>
        <v>128609.0218444733</v>
      </c>
      <c r="U142" s="44">
        <f ca="1">月次返済表!G144</f>
        <v>125052.99264303216</v>
      </c>
      <c r="V142" s="44"/>
      <c r="W142" s="44">
        <f t="shared" ca="1" si="2"/>
        <v>21624.417150689536</v>
      </c>
      <c r="X142" s="44">
        <f t="shared" ca="1" si="3"/>
        <v>25180.446352130675</v>
      </c>
    </row>
    <row r="143" spans="15:24">
      <c r="O143" s="43" t="str">
        <f>TEXT((月次返済表!A145-1)/12,"0.0")</f>
        <v>11.6</v>
      </c>
      <c r="P143" s="44">
        <f ca="1">月次返済表!S145</f>
        <v>64847.262466961576</v>
      </c>
      <c r="Q143" s="44">
        <f ca="1">月次返済表!T145</f>
        <v>63761.759377511728</v>
      </c>
      <c r="R143" s="44">
        <f ca="1">月次返済表!H145</f>
        <v>56542.325302055193</v>
      </c>
      <c r="S143" s="44">
        <f ca="1">月次返済表!I145</f>
        <v>68510.667340976972</v>
      </c>
      <c r="T143" s="44">
        <f ca="1">月次返済表!R145</f>
        <v>128609.0218444733</v>
      </c>
      <c r="U143" s="44">
        <f ca="1">月次返済表!G145</f>
        <v>125052.99264303216</v>
      </c>
      <c r="V143" s="44"/>
      <c r="W143" s="44">
        <f t="shared" ca="1" si="2"/>
        <v>21624.417150689536</v>
      </c>
      <c r="X143" s="44">
        <f t="shared" ca="1" si="3"/>
        <v>25180.446352130675</v>
      </c>
    </row>
    <row r="144" spans="15:24">
      <c r="O144" s="43" t="str">
        <f>TEXT((月次返済表!A146-1)/12,"0.0")</f>
        <v>11.7</v>
      </c>
      <c r="P144" s="44">
        <f ca="1">月次返済表!S146</f>
        <v>64687.858068517788</v>
      </c>
      <c r="Q144" s="44">
        <f ca="1">月次返済表!T146</f>
        <v>63921.163775955516</v>
      </c>
      <c r="R144" s="44">
        <f ca="1">月次返済表!H146</f>
        <v>56371.048633702761</v>
      </c>
      <c r="S144" s="44">
        <f ca="1">月次返済表!I146</f>
        <v>68681.944009329396</v>
      </c>
      <c r="T144" s="44">
        <f ca="1">月次返済表!R146</f>
        <v>128609.0218444733</v>
      </c>
      <c r="U144" s="44">
        <f ca="1">月次返済表!G146</f>
        <v>125052.99264303216</v>
      </c>
      <c r="V144" s="44"/>
      <c r="W144" s="44">
        <f t="shared" ca="1" si="2"/>
        <v>21624.417150689536</v>
      </c>
      <c r="X144" s="44">
        <f t="shared" ca="1" si="3"/>
        <v>25180.446352130675</v>
      </c>
    </row>
    <row r="145" spans="15:24">
      <c r="O145" s="43" t="str">
        <f>TEXT((月次返済表!A147-1)/12,"0.0")</f>
        <v>11.8</v>
      </c>
      <c r="P145" s="44">
        <f ca="1">月次返済表!S147</f>
        <v>64528.0551590779</v>
      </c>
      <c r="Q145" s="44">
        <f ca="1">月次返済表!T147</f>
        <v>64080.966685395404</v>
      </c>
      <c r="R145" s="44">
        <f ca="1">月次返済表!H147</f>
        <v>56199.343773679429</v>
      </c>
      <c r="S145" s="44">
        <f ca="1">月次返済表!I147</f>
        <v>68853.648869352735</v>
      </c>
      <c r="T145" s="44">
        <f ca="1">月次返済表!R147</f>
        <v>128609.0218444733</v>
      </c>
      <c r="U145" s="44">
        <f ca="1">月次返済表!G147</f>
        <v>125052.99264303216</v>
      </c>
      <c r="V145" s="44"/>
      <c r="W145" s="44">
        <f t="shared" ca="1" si="2"/>
        <v>21624.417150689536</v>
      </c>
      <c r="X145" s="44">
        <f t="shared" ca="1" si="3"/>
        <v>25180.446352130675</v>
      </c>
    </row>
    <row r="146" spans="15:24">
      <c r="O146" s="43" t="str">
        <f>TEXT((月次返済表!A148-1)/12,"0.0")</f>
        <v>11.8</v>
      </c>
      <c r="P146" s="44">
        <f ca="1">月次返済表!S148</f>
        <v>64367.852742364419</v>
      </c>
      <c r="Q146" s="44">
        <f ca="1">月次返済表!T148</f>
        <v>64241.169102108885</v>
      </c>
      <c r="R146" s="44">
        <f ca="1">月次返済表!H148</f>
        <v>56027.209651506048</v>
      </c>
      <c r="S146" s="44">
        <f ca="1">月次返済表!I148</f>
        <v>69025.782991526125</v>
      </c>
      <c r="T146" s="44">
        <f ca="1">月次返済表!R148</f>
        <v>128609.0218444733</v>
      </c>
      <c r="U146" s="44">
        <f ca="1">月次返済表!G148</f>
        <v>125052.99264303216</v>
      </c>
      <c r="V146" s="44"/>
      <c r="W146" s="44">
        <f t="shared" ca="1" si="2"/>
        <v>21624.417150689536</v>
      </c>
      <c r="X146" s="44">
        <f t="shared" ca="1" si="3"/>
        <v>25180.446352130675</v>
      </c>
    </row>
    <row r="147" spans="15:24">
      <c r="O147" s="43" t="str">
        <f>TEXT((月次返済表!A149-1)/12,"0.0")</f>
        <v>11.9</v>
      </c>
      <c r="P147" s="44">
        <f ca="1">月次返済表!S149</f>
        <v>64207.24981960914</v>
      </c>
      <c r="Q147" s="44">
        <f ca="1">月次返済表!T149</f>
        <v>64401.772024864164</v>
      </c>
      <c r="R147" s="44">
        <f ca="1">月次返済表!H149</f>
        <v>55854.645194027231</v>
      </c>
      <c r="S147" s="44">
        <f ca="1">月次返済表!I149</f>
        <v>69198.347449004941</v>
      </c>
      <c r="T147" s="44">
        <f ca="1">月次返済表!R149</f>
        <v>128609.0218444733</v>
      </c>
      <c r="U147" s="44">
        <f ca="1">月次返済表!G149</f>
        <v>125052.99264303216</v>
      </c>
      <c r="V147" s="44"/>
      <c r="W147" s="44">
        <f t="shared" ca="1" si="2"/>
        <v>21624.417150689536</v>
      </c>
      <c r="X147" s="44">
        <f t="shared" ca="1" si="3"/>
        <v>25180.446352130675</v>
      </c>
    </row>
    <row r="148" spans="15:24">
      <c r="O148" s="43" t="str">
        <f>TEXT((月次返済表!A150-1)/12,"0.0")</f>
        <v>12.0</v>
      </c>
      <c r="P148" s="44">
        <f ca="1">月次返済表!S150</f>
        <v>64046.245389546988</v>
      </c>
      <c r="Q148" s="44">
        <f ca="1">月次返済表!T150</f>
        <v>64562.776454926316</v>
      </c>
      <c r="R148" s="44">
        <f ca="1">月次返済表!H150</f>
        <v>55681.649325404724</v>
      </c>
      <c r="S148" s="44">
        <f ca="1">月次返済表!I150</f>
        <v>69371.343317627441</v>
      </c>
      <c r="T148" s="44">
        <f ca="1">月次返済表!R150</f>
        <v>128609.0218444733</v>
      </c>
      <c r="U148" s="44">
        <f ca="1">月次返済表!G150</f>
        <v>125052.99264303216</v>
      </c>
      <c r="V148" s="44"/>
      <c r="W148" s="44">
        <f t="shared" ca="1" si="2"/>
        <v>21624.417150689536</v>
      </c>
      <c r="X148" s="44">
        <f t="shared" ca="1" si="3"/>
        <v>25180.446352130675</v>
      </c>
    </row>
    <row r="149" spans="15:24">
      <c r="O149" s="43" t="str">
        <f>TEXT((月次返済表!A151-1)/12,"0.0")</f>
        <v>12.1</v>
      </c>
      <c r="P149" s="44">
        <f ca="1">月次返済表!S151</f>
        <v>63884.838448409668</v>
      </c>
      <c r="Q149" s="44">
        <f ca="1">月次返済表!T151</f>
        <v>64724.183396063636</v>
      </c>
      <c r="R149" s="44">
        <f ca="1">月次返済表!H151</f>
        <v>55508.220967110654</v>
      </c>
      <c r="S149" s="44">
        <f ca="1">月次返済表!I151</f>
        <v>69544.771675921511</v>
      </c>
      <c r="T149" s="44">
        <f ca="1">月次返済表!R151</f>
        <v>128609.0218444733</v>
      </c>
      <c r="U149" s="44">
        <f ca="1">月次返済表!G151</f>
        <v>125052.99264303216</v>
      </c>
      <c r="V149" s="44"/>
      <c r="W149" s="44">
        <f t="shared" ca="1" si="2"/>
        <v>21624.417150689536</v>
      </c>
      <c r="X149" s="44">
        <f t="shared" ca="1" si="3"/>
        <v>25180.446352130675</v>
      </c>
    </row>
    <row r="150" spans="15:24">
      <c r="O150" s="43" t="str">
        <f>TEXT((月次返済表!A152-1)/12,"0.0")</f>
        <v>12.2</v>
      </c>
      <c r="P150" s="44">
        <f ca="1">月次返済表!S152</f>
        <v>63723.027989919508</v>
      </c>
      <c r="Q150" s="44">
        <f ca="1">月次返済表!T152</f>
        <v>64885.993854553795</v>
      </c>
      <c r="R150" s="44">
        <f ca="1">月次返済表!H152</f>
        <v>55334.359037920854</v>
      </c>
      <c r="S150" s="44">
        <f ca="1">月次返済表!I152</f>
        <v>69718.633605111303</v>
      </c>
      <c r="T150" s="44">
        <f ca="1">月次返済表!R152</f>
        <v>128609.0218444733</v>
      </c>
      <c r="U150" s="44">
        <f ca="1">月次返済表!G152</f>
        <v>125052.99264303216</v>
      </c>
      <c r="V150" s="44"/>
      <c r="W150" s="44">
        <f t="shared" ca="1" si="2"/>
        <v>21624.417150689536</v>
      </c>
      <c r="X150" s="44">
        <f t="shared" ca="1" si="3"/>
        <v>25180.446352130675</v>
      </c>
    </row>
    <row r="151" spans="15:24">
      <c r="O151" s="43" t="str">
        <f>TEXT((月次返済表!A153-1)/12,"0.0")</f>
        <v>12.3</v>
      </c>
      <c r="P151" s="44">
        <f ca="1">月次返済表!S153</f>
        <v>63560.813005283126</v>
      </c>
      <c r="Q151" s="44">
        <f ca="1">月次返済表!T153</f>
        <v>65048.208839190178</v>
      </c>
      <c r="R151" s="44">
        <f ca="1">月次返済表!H153</f>
        <v>55160.062453908067</v>
      </c>
      <c r="S151" s="44">
        <f ca="1">月次返済表!I153</f>
        <v>69892.930189124105</v>
      </c>
      <c r="T151" s="44">
        <f ca="1">月次返済表!R153</f>
        <v>128609.0218444733</v>
      </c>
      <c r="U151" s="44">
        <f ca="1">月次返済表!G153</f>
        <v>125052.99264303216</v>
      </c>
      <c r="V151" s="44"/>
      <c r="W151" s="44">
        <f t="shared" ca="1" si="2"/>
        <v>21624.417150689536</v>
      </c>
      <c r="X151" s="44">
        <f t="shared" ca="1" si="3"/>
        <v>25180.446352130675</v>
      </c>
    </row>
    <row r="152" spans="15:24">
      <c r="O152" s="43" t="str">
        <f>TEXT((月次返済表!A154-1)/12,"0.0")</f>
        <v>12.3</v>
      </c>
      <c r="P152" s="44">
        <f ca="1">月次返済表!S154</f>
        <v>63398.19248318515</v>
      </c>
      <c r="Q152" s="44">
        <f ca="1">月次返済表!T154</f>
        <v>65210.829361288153</v>
      </c>
      <c r="R152" s="44">
        <f ca="1">月次返済表!H154</f>
        <v>54985.330128435256</v>
      </c>
      <c r="S152" s="44">
        <f ca="1">月次返済表!I154</f>
        <v>70067.662514596916</v>
      </c>
      <c r="T152" s="44">
        <f ca="1">月次返済表!R154</f>
        <v>128609.0218444733</v>
      </c>
      <c r="U152" s="44">
        <f ca="1">月次返済表!G154</f>
        <v>125052.99264303216</v>
      </c>
      <c r="V152" s="44"/>
      <c r="W152" s="44">
        <f t="shared" ca="1" si="2"/>
        <v>21624.417150689536</v>
      </c>
      <c r="X152" s="44">
        <f t="shared" ca="1" si="3"/>
        <v>25180.446352130675</v>
      </c>
    </row>
    <row r="153" spans="15:24">
      <c r="O153" s="43" t="str">
        <f>TEXT((月次返済表!A155-1)/12,"0.0")</f>
        <v>12.4</v>
      </c>
      <c r="P153" s="44">
        <f ca="1">月次返済表!S155</f>
        <v>63235.165409781934</v>
      </c>
      <c r="Q153" s="44">
        <f ca="1">月次返済表!T155</f>
        <v>65373.85643469137</v>
      </c>
      <c r="R153" s="44">
        <f ca="1">月次返済表!H155</f>
        <v>54810.160972148762</v>
      </c>
      <c r="S153" s="44">
        <f ca="1">月次返済表!I155</f>
        <v>70242.831670883403</v>
      </c>
      <c r="T153" s="44">
        <f ca="1">月次返済表!R155</f>
        <v>128609.0218444733</v>
      </c>
      <c r="U153" s="44">
        <f ca="1">月次返済表!G155</f>
        <v>125052.99264303216</v>
      </c>
      <c r="V153" s="44"/>
      <c r="W153" s="44">
        <f t="shared" ca="1" si="2"/>
        <v>21624.417150689536</v>
      </c>
      <c r="X153" s="44">
        <f t="shared" ca="1" si="3"/>
        <v>25180.446352130675</v>
      </c>
    </row>
    <row r="154" spans="15:24">
      <c r="O154" s="43" t="str">
        <f>TEXT((月次返済表!A156-1)/12,"0.0")</f>
        <v>12.5</v>
      </c>
      <c r="P154" s="44">
        <f ca="1">月次返済表!S156</f>
        <v>63071.730768695204</v>
      </c>
      <c r="Q154" s="44">
        <f ca="1">月次返済表!T156</f>
        <v>65537.291075778106</v>
      </c>
      <c r="R154" s="44">
        <f ca="1">月次返済表!H156</f>
        <v>54634.553892971548</v>
      </c>
      <c r="S154" s="44">
        <f ca="1">月次返済表!I156</f>
        <v>70418.438750060624</v>
      </c>
      <c r="T154" s="44">
        <f ca="1">月次返済表!R156</f>
        <v>128609.0218444733</v>
      </c>
      <c r="U154" s="44">
        <f ca="1">月次返済表!G156</f>
        <v>125052.99264303216</v>
      </c>
      <c r="V154" s="44"/>
      <c r="W154" s="44">
        <f t="shared" ca="1" si="2"/>
        <v>21624.417150689536</v>
      </c>
      <c r="X154" s="44">
        <f t="shared" ca="1" si="3"/>
        <v>25180.446352130675</v>
      </c>
    </row>
    <row r="155" spans="15:24">
      <c r="O155" s="43" t="str">
        <f>TEXT((月次返済表!A157-1)/12,"0.0")</f>
        <v>12.6</v>
      </c>
      <c r="P155" s="44">
        <f ca="1">月次返済表!S157</f>
        <v>62907.887541005759</v>
      </c>
      <c r="Q155" s="44">
        <f ca="1">月次返済表!T157</f>
        <v>65701.134303467552</v>
      </c>
      <c r="R155" s="44">
        <f ca="1">月次返済表!H157</f>
        <v>54458.507796096404</v>
      </c>
      <c r="S155" s="44">
        <f ca="1">月次返済表!I157</f>
        <v>70594.484846935753</v>
      </c>
      <c r="T155" s="44">
        <f ca="1">月次返済表!R157</f>
        <v>128609.0218444733</v>
      </c>
      <c r="U155" s="44">
        <f ca="1">月次返済表!G157</f>
        <v>125052.99264303216</v>
      </c>
      <c r="V155" s="44"/>
      <c r="W155" s="44">
        <f t="shared" ca="1" si="2"/>
        <v>21624.417150689536</v>
      </c>
      <c r="X155" s="44">
        <f t="shared" ca="1" si="3"/>
        <v>25180.446352130675</v>
      </c>
    </row>
    <row r="156" spans="15:24">
      <c r="O156" s="43" t="str">
        <f>TEXT((月次返済表!A158-1)/12,"0.0")</f>
        <v>12.7</v>
      </c>
      <c r="P156" s="44">
        <f ca="1">月次返済表!S158</f>
        <v>62743.634705247088</v>
      </c>
      <c r="Q156" s="44">
        <f ca="1">月次返済表!T158</f>
        <v>65865.387139226223</v>
      </c>
      <c r="R156" s="44">
        <f ca="1">月次返済表!H158</f>
        <v>54282.021583979069</v>
      </c>
      <c r="S156" s="44">
        <f ca="1">月次返済表!I158</f>
        <v>70770.971059053089</v>
      </c>
      <c r="T156" s="44">
        <f ca="1">月次返済表!R158</f>
        <v>128609.0218444733</v>
      </c>
      <c r="U156" s="44">
        <f ca="1">月次返済表!G158</f>
        <v>125052.99264303216</v>
      </c>
      <c r="V156" s="44"/>
      <c r="W156" s="44">
        <f t="shared" ca="1" si="2"/>
        <v>21624.417150689536</v>
      </c>
      <c r="X156" s="44">
        <f t="shared" ca="1" si="3"/>
        <v>25180.446352130675</v>
      </c>
    </row>
    <row r="157" spans="15:24">
      <c r="O157" s="43" t="str">
        <f>TEXT((月次返済表!A159-1)/12,"0.0")</f>
        <v>12.8</v>
      </c>
      <c r="P157" s="44">
        <f ca="1">月次返済表!S159</f>
        <v>62578.971237399011</v>
      </c>
      <c r="Q157" s="44">
        <f ca="1">月次返済表!T159</f>
        <v>66030.050607074285</v>
      </c>
      <c r="R157" s="44">
        <f ca="1">月次返済表!H159</f>
        <v>54105.094156331434</v>
      </c>
      <c r="S157" s="44">
        <f ca="1">月次返済表!I159</f>
        <v>70947.898486700724</v>
      </c>
      <c r="T157" s="44">
        <f ca="1">月次返済表!R159</f>
        <v>128609.0218444733</v>
      </c>
      <c r="U157" s="44">
        <f ca="1">月次返済表!G159</f>
        <v>125052.99264303216</v>
      </c>
      <c r="V157" s="44"/>
      <c r="W157" s="44">
        <f t="shared" ca="1" si="2"/>
        <v>21624.417150689536</v>
      </c>
      <c r="X157" s="44">
        <f t="shared" ca="1" si="3"/>
        <v>25180.446352130675</v>
      </c>
    </row>
    <row r="158" spans="15:24">
      <c r="O158" s="43" t="str">
        <f>TEXT((月次返済表!A160-1)/12,"0.0")</f>
        <v>12.8</v>
      </c>
      <c r="P158" s="44">
        <f ca="1">月次返済表!S160</f>
        <v>62413.896110881331</v>
      </c>
      <c r="Q158" s="44">
        <f ca="1">月次返済表!T160</f>
        <v>66195.125733591965</v>
      </c>
      <c r="R158" s="44">
        <f ca="1">月次返済表!H160</f>
        <v>53927.724410114672</v>
      </c>
      <c r="S158" s="44">
        <f ca="1">月次返済表!I160</f>
        <v>71125.2682329175</v>
      </c>
      <c r="T158" s="44">
        <f ca="1">月次返済表!R160</f>
        <v>128609.0218444733</v>
      </c>
      <c r="U158" s="44">
        <f ca="1">月次返済表!G160</f>
        <v>125052.99264303216</v>
      </c>
      <c r="V158" s="44"/>
      <c r="W158" s="44">
        <f t="shared" ca="1" si="2"/>
        <v>21624.417150689536</v>
      </c>
      <c r="X158" s="44">
        <f t="shared" ca="1" si="3"/>
        <v>25180.446352130675</v>
      </c>
    </row>
    <row r="159" spans="15:24">
      <c r="O159" s="43" t="str">
        <f>TEXT((月次返済表!A161-1)/12,"0.0")</f>
        <v>12.9</v>
      </c>
      <c r="P159" s="44">
        <f ca="1">月次返済表!S161</f>
        <v>62248.408296547357</v>
      </c>
      <c r="Q159" s="44">
        <f ca="1">月次返済表!T161</f>
        <v>66360.613547925954</v>
      </c>
      <c r="R159" s="44">
        <f ca="1">月次返済表!H161</f>
        <v>53749.911239532375</v>
      </c>
      <c r="S159" s="44">
        <f ca="1">月次返済表!I161</f>
        <v>71303.081403499789</v>
      </c>
      <c r="T159" s="44">
        <f ca="1">月次返済表!R161</f>
        <v>128609.0218444733</v>
      </c>
      <c r="U159" s="44">
        <f ca="1">月次返済表!G161</f>
        <v>125052.99264303216</v>
      </c>
      <c r="V159" s="44"/>
      <c r="W159" s="44">
        <f t="shared" ca="1" si="2"/>
        <v>21624.417150689536</v>
      </c>
      <c r="X159" s="44">
        <f t="shared" ca="1" si="3"/>
        <v>25180.446352130675</v>
      </c>
    </row>
    <row r="160" spans="15:24">
      <c r="O160" s="43" t="str">
        <f>TEXT((月次返済表!A162-1)/12,"0.0")</f>
        <v>13.0</v>
      </c>
      <c r="P160" s="44">
        <f ca="1">月次返済表!S162</f>
        <v>62082.506762677542</v>
      </c>
      <c r="Q160" s="44">
        <f ca="1">月次返済表!T162</f>
        <v>66526.515081795762</v>
      </c>
      <c r="R160" s="44">
        <f ca="1">月次返済表!H162</f>
        <v>53571.65353602363</v>
      </c>
      <c r="S160" s="44">
        <f ca="1">月次返済表!I162</f>
        <v>71481.339107008534</v>
      </c>
      <c r="T160" s="44">
        <f ca="1">月次返済表!R162</f>
        <v>128609.0218444733</v>
      </c>
      <c r="U160" s="44">
        <f ca="1">月次返済表!G162</f>
        <v>125052.99264303216</v>
      </c>
      <c r="V160" s="44"/>
      <c r="W160" s="44">
        <f t="shared" ca="1" si="2"/>
        <v>21624.417150689536</v>
      </c>
      <c r="X160" s="44">
        <f t="shared" ca="1" si="3"/>
        <v>25180.446352130675</v>
      </c>
    </row>
    <row r="161" spans="15:24">
      <c r="O161" s="43" t="str">
        <f>TEXT((月次返済表!A163-1)/12,"0.0")</f>
        <v>13.1</v>
      </c>
      <c r="P161" s="44">
        <f ca="1">月次返済表!S163</f>
        <v>61916.190474973053</v>
      </c>
      <c r="Q161" s="44">
        <f ca="1">月次返済表!T163</f>
        <v>66692.831369500258</v>
      </c>
      <c r="R161" s="44">
        <f ca="1">月次返済表!H163</f>
        <v>53392.950188256109</v>
      </c>
      <c r="S161" s="44">
        <f ca="1">月次返済表!I163</f>
        <v>71660.042454776063</v>
      </c>
      <c r="T161" s="44">
        <f ca="1">月次返済表!R163</f>
        <v>128609.0218444733</v>
      </c>
      <c r="U161" s="44">
        <f ca="1">月次返済表!G163</f>
        <v>125052.99264303216</v>
      </c>
      <c r="V161" s="44"/>
      <c r="W161" s="44">
        <f t="shared" ca="1" si="2"/>
        <v>21624.417150689536</v>
      </c>
      <c r="X161" s="44">
        <f t="shared" ca="1" si="3"/>
        <v>25180.446352130675</v>
      </c>
    </row>
    <row r="162" spans="15:24">
      <c r="O162" s="43" t="str">
        <f>TEXT((月次返済表!A164-1)/12,"0.0")</f>
        <v>13.2</v>
      </c>
      <c r="P162" s="44">
        <f ca="1">月次返済表!S164</f>
        <v>61749.4583965493</v>
      </c>
      <c r="Q162" s="44">
        <f ca="1">月次返済表!T164</f>
        <v>66859.563447924011</v>
      </c>
      <c r="R162" s="44">
        <f ca="1">月次返済表!H164</f>
        <v>53213.800082119174</v>
      </c>
      <c r="S162" s="44">
        <f ca="1">月次返済表!I164</f>
        <v>71839.192560912983</v>
      </c>
      <c r="T162" s="44">
        <f ca="1">月次返済表!R164</f>
        <v>128609.0218444733</v>
      </c>
      <c r="U162" s="44">
        <f ca="1">月次返済表!G164</f>
        <v>125052.99264303216</v>
      </c>
      <c r="V162" s="44"/>
      <c r="W162" s="44">
        <f t="shared" ca="1" si="2"/>
        <v>21624.417150689536</v>
      </c>
      <c r="X162" s="44">
        <f t="shared" ca="1" si="3"/>
        <v>25180.446352130675</v>
      </c>
    </row>
    <row r="163" spans="15:24">
      <c r="O163" s="43" t="str">
        <f>TEXT((月次返済表!A165-1)/12,"0.0")</f>
        <v>13.3</v>
      </c>
      <c r="P163" s="44">
        <f ca="1">月次返済表!S165</f>
        <v>61582.309487929488</v>
      </c>
      <c r="Q163" s="44">
        <f ca="1">月次返済表!T165</f>
        <v>67026.712356543809</v>
      </c>
      <c r="R163" s="44">
        <f ca="1">月次返済表!H165</f>
        <v>53034.202100716888</v>
      </c>
      <c r="S163" s="44">
        <f ca="1">月次返済表!I165</f>
        <v>72018.790542315284</v>
      </c>
      <c r="T163" s="44">
        <f ca="1">月次返済表!R165</f>
        <v>128609.0218444733</v>
      </c>
      <c r="U163" s="44">
        <f ca="1">月次返済表!G165</f>
        <v>125052.99264303216</v>
      </c>
      <c r="V163" s="44"/>
      <c r="W163" s="44">
        <f t="shared" ca="1" si="2"/>
        <v>21624.417150689536</v>
      </c>
      <c r="X163" s="44">
        <f t="shared" ca="1" si="3"/>
        <v>25180.446352130675</v>
      </c>
    </row>
    <row r="164" spans="15:24">
      <c r="O164" s="43" t="str">
        <f>TEXT((月次返済表!A166-1)/12,"0.0")</f>
        <v>13.3</v>
      </c>
      <c r="P164" s="44">
        <f ca="1">月次返済表!S166</f>
        <v>61414.742707038124</v>
      </c>
      <c r="Q164" s="44">
        <f ca="1">月次返済表!T166</f>
        <v>67194.27913743518</v>
      </c>
      <c r="R164" s="44">
        <f ca="1">月次返済表!H166</f>
        <v>52854.155124361103</v>
      </c>
      <c r="S164" s="44">
        <f ca="1">月次返済表!I166</f>
        <v>72198.837518671062</v>
      </c>
      <c r="T164" s="44">
        <f ca="1">月次返済表!R166</f>
        <v>128609.0218444733</v>
      </c>
      <c r="U164" s="44">
        <f ca="1">月次返済表!G166</f>
        <v>125052.99264303216</v>
      </c>
      <c r="V164" s="44"/>
      <c r="W164" s="44">
        <f t="shared" ca="1" si="2"/>
        <v>21624.417150689536</v>
      </c>
      <c r="X164" s="44">
        <f t="shared" ca="1" si="3"/>
        <v>25180.446352130675</v>
      </c>
    </row>
    <row r="165" spans="15:24">
      <c r="O165" s="43" t="str">
        <f>TEXT((月次返済表!A167-1)/12,"0.0")</f>
        <v>13.4</v>
      </c>
      <c r="P165" s="44">
        <f ca="1">月次返済表!S167</f>
        <v>61246.757009194531</v>
      </c>
      <c r="Q165" s="44">
        <f ca="1">月次返済表!T167</f>
        <v>67362.264835278766</v>
      </c>
      <c r="R165" s="44">
        <f ca="1">月次返済表!H167</f>
        <v>52673.658030564431</v>
      </c>
      <c r="S165" s="44">
        <f ca="1">月次返済表!I167</f>
        <v>72379.334612467734</v>
      </c>
      <c r="T165" s="44">
        <f ca="1">月次返済表!R167</f>
        <v>128609.0218444733</v>
      </c>
      <c r="U165" s="44">
        <f ca="1">月次返済表!G167</f>
        <v>125052.99264303216</v>
      </c>
      <c r="V165" s="44"/>
      <c r="W165" s="44">
        <f t="shared" ca="1" si="2"/>
        <v>21624.417150689536</v>
      </c>
      <c r="X165" s="44">
        <f t="shared" ca="1" si="3"/>
        <v>25180.446352130675</v>
      </c>
    </row>
    <row r="166" spans="15:24">
      <c r="O166" s="43" t="str">
        <f>TEXT((月次返済表!A168-1)/12,"0.0")</f>
        <v>13.5</v>
      </c>
      <c r="P166" s="44">
        <f ca="1">月次返済表!S168</f>
        <v>61078.351347106334</v>
      </c>
      <c r="Q166" s="44">
        <f ca="1">月次返済表!T168</f>
        <v>67530.670497366969</v>
      </c>
      <c r="R166" s="44">
        <f ca="1">月次返済表!H168</f>
        <v>52492.709694033263</v>
      </c>
      <c r="S166" s="44">
        <f ca="1">月次返済表!I168</f>
        <v>72560.282948998909</v>
      </c>
      <c r="T166" s="44">
        <f ca="1">月次返済表!R168</f>
        <v>128609.0218444733</v>
      </c>
      <c r="U166" s="44">
        <f ca="1">月次返済表!G168</f>
        <v>125052.99264303216</v>
      </c>
      <c r="V166" s="44"/>
      <c r="W166" s="44">
        <f t="shared" ca="1" si="2"/>
        <v>21624.417150689536</v>
      </c>
      <c r="X166" s="44">
        <f t="shared" ca="1" si="3"/>
        <v>25180.446352130675</v>
      </c>
    </row>
    <row r="167" spans="15:24">
      <c r="O167" s="43" t="str">
        <f>TEXT((月次返済表!A169-1)/12,"0.0")</f>
        <v>13.6</v>
      </c>
      <c r="P167" s="44">
        <f ca="1">月次返済表!S169</f>
        <v>60909.52467086292</v>
      </c>
      <c r="Q167" s="44">
        <f ca="1">月次返済表!T169</f>
        <v>67699.497173610376</v>
      </c>
      <c r="R167" s="44">
        <f ca="1">月次返済表!H169</f>
        <v>52311.308986660762</v>
      </c>
      <c r="S167" s="44">
        <f ca="1">月次返済表!I169</f>
        <v>72741.683656371402</v>
      </c>
      <c r="T167" s="44">
        <f ca="1">月次返済表!R169</f>
        <v>128609.0218444733</v>
      </c>
      <c r="U167" s="44">
        <f ca="1">月次返済表!G169</f>
        <v>125052.99264303216</v>
      </c>
      <c r="V167" s="44"/>
      <c r="W167" s="44">
        <f t="shared" ca="1" si="2"/>
        <v>21624.417150689536</v>
      </c>
      <c r="X167" s="44">
        <f t="shared" ca="1" si="3"/>
        <v>25180.446352130675</v>
      </c>
    </row>
    <row r="168" spans="15:24">
      <c r="O168" s="43" t="str">
        <f>TEXT((月次返済表!A170-1)/12,"0.0")</f>
        <v>13.7</v>
      </c>
      <c r="P168" s="44">
        <f ca="1">月次返済表!S170</f>
        <v>60740.275927928895</v>
      </c>
      <c r="Q168" s="44">
        <f ca="1">月次返済表!T170</f>
        <v>67868.745916544402</v>
      </c>
      <c r="R168" s="44">
        <f ca="1">月次返済表!H170</f>
        <v>52129.45477751983</v>
      </c>
      <c r="S168" s="44">
        <f ca="1">月次返済表!I170</f>
        <v>72923.537865512335</v>
      </c>
      <c r="T168" s="44">
        <f ca="1">月次返済表!R170</f>
        <v>128609.0218444733</v>
      </c>
      <c r="U168" s="44">
        <f ca="1">月次返済表!G170</f>
        <v>125052.99264303216</v>
      </c>
      <c r="V168" s="44"/>
      <c r="W168" s="44">
        <f t="shared" ca="1" si="2"/>
        <v>21624.417150689536</v>
      </c>
      <c r="X168" s="44">
        <f t="shared" ca="1" si="3"/>
        <v>25180.446352130675</v>
      </c>
    </row>
    <row r="169" spans="15:24">
      <c r="O169" s="43" t="str">
        <f>TEXT((月次返済表!A171-1)/12,"0.0")</f>
        <v>13.8</v>
      </c>
      <c r="P169" s="44">
        <f ca="1">月次返済表!S171</f>
        <v>60570.604063137529</v>
      </c>
      <c r="Q169" s="44">
        <f ca="1">月次返済表!T171</f>
        <v>68038.417781335767</v>
      </c>
      <c r="R169" s="44">
        <f ca="1">月次返済表!H171</f>
        <v>51947.145932856052</v>
      </c>
      <c r="S169" s="44">
        <f ca="1">月次返済表!I171</f>
        <v>73105.84671017612</v>
      </c>
      <c r="T169" s="44">
        <f ca="1">月次返済表!R171</f>
        <v>128609.0218444733</v>
      </c>
      <c r="U169" s="44">
        <f ca="1">月次返済表!G171</f>
        <v>125052.99264303216</v>
      </c>
      <c r="V169" s="44"/>
      <c r="W169" s="44">
        <f t="shared" ca="1" si="2"/>
        <v>21624.417150689536</v>
      </c>
      <c r="X169" s="44">
        <f t="shared" ca="1" si="3"/>
        <v>25180.446352130675</v>
      </c>
    </row>
    <row r="170" spans="15:24">
      <c r="O170" s="43" t="str">
        <f>TEXT((月次返済表!A172-1)/12,"0.0")</f>
        <v>13.8</v>
      </c>
      <c r="P170" s="44">
        <f ca="1">月次返済表!S172</f>
        <v>60400.508018684195</v>
      </c>
      <c r="Q170" s="44">
        <f ca="1">月次返済表!T172</f>
        <v>68208.513825789109</v>
      </c>
      <c r="R170" s="44">
        <f ca="1">月次返済表!H172</f>
        <v>51764.381316080609</v>
      </c>
      <c r="S170" s="44">
        <f ca="1">月次返済表!I172</f>
        <v>73288.611326951563</v>
      </c>
      <c r="T170" s="44">
        <f ca="1">月次返済表!R172</f>
        <v>128609.0218444733</v>
      </c>
      <c r="U170" s="44">
        <f ca="1">月次返済表!G172</f>
        <v>125052.99264303216</v>
      </c>
      <c r="V170" s="44"/>
      <c r="W170" s="44">
        <f t="shared" ca="1" si="2"/>
        <v>21624.417150689536</v>
      </c>
      <c r="X170" s="44">
        <f t="shared" ca="1" si="3"/>
        <v>25180.446352130675</v>
      </c>
    </row>
    <row r="171" spans="15:24">
      <c r="O171" s="43" t="str">
        <f>TEXT((月次返済表!A173-1)/12,"0.0")</f>
        <v>13.9</v>
      </c>
      <c r="P171" s="44">
        <f ca="1">月次返済表!S173</f>
        <v>60229.986734119731</v>
      </c>
      <c r="Q171" s="44">
        <f ca="1">月次返済表!T173</f>
        <v>68379.03511035358</v>
      </c>
      <c r="R171" s="44">
        <f ca="1">月次返済表!H173</f>
        <v>51581.15978776323</v>
      </c>
      <c r="S171" s="44">
        <f ca="1">月次返済表!I173</f>
        <v>73471.832855268935</v>
      </c>
      <c r="T171" s="44">
        <f ca="1">月次返済表!R173</f>
        <v>128609.0218444733</v>
      </c>
      <c r="U171" s="44">
        <f ca="1">月次返済表!G173</f>
        <v>125052.99264303216</v>
      </c>
      <c r="V171" s="44"/>
      <c r="W171" s="44">
        <f t="shared" ca="1" si="2"/>
        <v>21624.417150689536</v>
      </c>
      <c r="X171" s="44">
        <f t="shared" ca="1" si="3"/>
        <v>25180.446352130675</v>
      </c>
    </row>
    <row r="172" spans="15:24">
      <c r="O172" s="43" t="str">
        <f>TEXT((月次返済表!A174-1)/12,"0.0")</f>
        <v>14.0</v>
      </c>
      <c r="P172" s="44">
        <f ca="1">月次返済表!S174</f>
        <v>60059.039146343835</v>
      </c>
      <c r="Q172" s="44">
        <f ca="1">月次返済表!T174</f>
        <v>68549.982698129461</v>
      </c>
      <c r="R172" s="44">
        <f ca="1">月次返済表!H174</f>
        <v>51397.480205625063</v>
      </c>
      <c r="S172" s="44">
        <f ca="1">月次返済表!I174</f>
        <v>73655.512437407102</v>
      </c>
      <c r="T172" s="44">
        <f ca="1">月次返済表!R174</f>
        <v>128609.0218444733</v>
      </c>
      <c r="U172" s="44">
        <f ca="1">月次返済表!G174</f>
        <v>125052.99264303216</v>
      </c>
      <c r="V172" s="44"/>
      <c r="W172" s="44">
        <f t="shared" ca="1" si="2"/>
        <v>21624.417150689536</v>
      </c>
      <c r="X172" s="44">
        <f t="shared" ca="1" si="3"/>
        <v>25180.446352130675</v>
      </c>
    </row>
    <row r="173" spans="15:24">
      <c r="O173" s="43" t="str">
        <f>TEXT((月次返済表!A175-1)/12,"0.0")</f>
        <v>14.1</v>
      </c>
      <c r="P173" s="44">
        <f ca="1">月次返済表!S175</f>
        <v>59887.664189598523</v>
      </c>
      <c r="Q173" s="44">
        <f ca="1">月次返済表!T175</f>
        <v>68721.357654874781</v>
      </c>
      <c r="R173" s="44">
        <f ca="1">月次返済表!H175</f>
        <v>51213.341424531543</v>
      </c>
      <c r="S173" s="44">
        <f ca="1">月次返済表!I175</f>
        <v>73839.651218500629</v>
      </c>
      <c r="T173" s="44">
        <f ca="1">月次返済表!R175</f>
        <v>128609.0218444733</v>
      </c>
      <c r="U173" s="44">
        <f ca="1">月次返済表!G175</f>
        <v>125052.99264303216</v>
      </c>
      <c r="V173" s="44"/>
      <c r="W173" s="44">
        <f t="shared" ca="1" si="2"/>
        <v>21624.417150689536</v>
      </c>
      <c r="X173" s="44">
        <f t="shared" ca="1" si="3"/>
        <v>25180.446352130675</v>
      </c>
    </row>
    <row r="174" spans="15:24">
      <c r="O174" s="43" t="str">
        <f>TEXT((月次返済表!A176-1)/12,"0.0")</f>
        <v>14.2</v>
      </c>
      <c r="P174" s="44">
        <f ca="1">月次返済表!S176</f>
        <v>59715.86079546134</v>
      </c>
      <c r="Q174" s="44">
        <f ca="1">月次返済表!T176</f>
        <v>68893.161049011964</v>
      </c>
      <c r="R174" s="44">
        <f ca="1">月次返済表!H176</f>
        <v>51028.742296485296</v>
      </c>
      <c r="S174" s="44">
        <f ca="1">月次返済表!I176</f>
        <v>74024.250346546876</v>
      </c>
      <c r="T174" s="44">
        <f ca="1">月次返済表!R176</f>
        <v>128609.0218444733</v>
      </c>
      <c r="U174" s="44">
        <f ca="1">月次返済表!G176</f>
        <v>125052.99264303216</v>
      </c>
      <c r="V174" s="44"/>
      <c r="W174" s="44">
        <f t="shared" ca="1" si="2"/>
        <v>21624.417150689536</v>
      </c>
      <c r="X174" s="44">
        <f t="shared" ca="1" si="3"/>
        <v>25180.446352130675</v>
      </c>
    </row>
    <row r="175" spans="15:24">
      <c r="O175" s="43" t="str">
        <f>TEXT((月次返済表!A177-1)/12,"0.0")</f>
        <v>14.3</v>
      </c>
      <c r="P175" s="44">
        <f ca="1">月次返済表!S177</f>
        <v>59543.627892838813</v>
      </c>
      <c r="Q175" s="44">
        <f ca="1">月次返済表!T177</f>
        <v>69065.393951634498</v>
      </c>
      <c r="R175" s="44">
        <f ca="1">月次返済表!H177</f>
        <v>50843.681670618935</v>
      </c>
      <c r="S175" s="44">
        <f ca="1">月次返済表!I177</f>
        <v>74209.310972413223</v>
      </c>
      <c r="T175" s="44">
        <f ca="1">月次返済表!R177</f>
        <v>128609.0218444733</v>
      </c>
      <c r="U175" s="44">
        <f ca="1">月次返済表!G177</f>
        <v>125052.99264303216</v>
      </c>
      <c r="V175" s="44"/>
      <c r="W175" s="44">
        <f t="shared" ca="1" si="2"/>
        <v>21624.417150689536</v>
      </c>
      <c r="X175" s="44">
        <f t="shared" ca="1" si="3"/>
        <v>25180.446352130675</v>
      </c>
    </row>
    <row r="176" spans="15:24">
      <c r="O176" s="43" t="str">
        <f>TEXT((月次返済表!A178-1)/12,"0.0")</f>
        <v>14.3</v>
      </c>
      <c r="P176" s="44">
        <f ca="1">月次返済表!S178</f>
        <v>59370.96440795972</v>
      </c>
      <c r="Q176" s="44">
        <f ca="1">月次返済表!T178</f>
        <v>69238.057436513584</v>
      </c>
      <c r="R176" s="44">
        <f ca="1">月次返済表!H178</f>
        <v>50658.158393187892</v>
      </c>
      <c r="S176" s="44">
        <f ca="1">月次返済表!I178</f>
        <v>74394.83424984428</v>
      </c>
      <c r="T176" s="44">
        <f ca="1">月次返済表!R178</f>
        <v>128609.0218444733</v>
      </c>
      <c r="U176" s="44">
        <f ca="1">月次返済表!G178</f>
        <v>125052.99264303216</v>
      </c>
      <c r="V176" s="44"/>
      <c r="W176" s="44">
        <f t="shared" ca="1" si="2"/>
        <v>21624.417150689536</v>
      </c>
      <c r="X176" s="44">
        <f t="shared" ca="1" si="3"/>
        <v>25180.446352130675</v>
      </c>
    </row>
    <row r="177" spans="15:24">
      <c r="O177" s="43" t="str">
        <f>TEXT((月次返済表!A179-1)/12,"0.0")</f>
        <v>14.4</v>
      </c>
      <c r="P177" s="44">
        <f ca="1">月次返済表!S179</f>
        <v>59197.869264368434</v>
      </c>
      <c r="Q177" s="44">
        <f ca="1">月次返済表!T179</f>
        <v>69411.15258010487</v>
      </c>
      <c r="R177" s="44">
        <f ca="1">月次返済表!H179</f>
        <v>50472.171307563287</v>
      </c>
      <c r="S177" s="44">
        <f ca="1">月次返済表!I179</f>
        <v>74580.821335468878</v>
      </c>
      <c r="T177" s="44">
        <f ca="1">月次返済表!R179</f>
        <v>128609.0218444733</v>
      </c>
      <c r="U177" s="44">
        <f ca="1">月次返済表!G179</f>
        <v>125052.99264303216</v>
      </c>
      <c r="V177" s="44"/>
      <c r="W177" s="44">
        <f t="shared" ca="1" si="2"/>
        <v>21624.417150689536</v>
      </c>
      <c r="X177" s="44">
        <f t="shared" ca="1" si="3"/>
        <v>25180.446352130675</v>
      </c>
    </row>
    <row r="178" spans="15:24">
      <c r="O178" s="43" t="str">
        <f>TEXT((月次返済表!A180-1)/12,"0.0")</f>
        <v>14.5</v>
      </c>
      <c r="P178" s="44">
        <f ca="1">月次返済表!S180</f>
        <v>59024.341382918174</v>
      </c>
      <c r="Q178" s="44">
        <f ca="1">月次返済表!T180</f>
        <v>69584.680461555137</v>
      </c>
      <c r="R178" s="44">
        <f ca="1">月次返済表!H180</f>
        <v>50285.719254224619</v>
      </c>
      <c r="S178" s="44">
        <f ca="1">月次返済表!I180</f>
        <v>74767.273388807545</v>
      </c>
      <c r="T178" s="44">
        <f ca="1">月次返済表!R180</f>
        <v>128609.0218444733</v>
      </c>
      <c r="U178" s="44">
        <f ca="1">月次返済表!G180</f>
        <v>125052.99264303216</v>
      </c>
      <c r="V178" s="44"/>
      <c r="W178" s="44">
        <f t="shared" ca="1" si="2"/>
        <v>21624.417150689536</v>
      </c>
      <c r="X178" s="44">
        <f t="shared" ca="1" si="3"/>
        <v>25180.446352130675</v>
      </c>
    </row>
    <row r="179" spans="15:24">
      <c r="O179" s="43" t="str">
        <f>TEXT((月次返済表!A181-1)/12,"0.0")</f>
        <v>14.6</v>
      </c>
      <c r="P179" s="44">
        <f ca="1">月次返済表!S181</f>
        <v>58850.37968176428</v>
      </c>
      <c r="Q179" s="44">
        <f ca="1">月次返済表!T181</f>
        <v>69758.642162709031</v>
      </c>
      <c r="R179" s="44">
        <f ca="1">月次返済表!H181</f>
        <v>50098.801070752605</v>
      </c>
      <c r="S179" s="44">
        <f ca="1">月次返済表!I181</f>
        <v>74954.191572279553</v>
      </c>
      <c r="T179" s="44">
        <f ca="1">月次返済表!R181</f>
        <v>128609.0218444733</v>
      </c>
      <c r="U179" s="44">
        <f ca="1">月次返済表!G181</f>
        <v>125052.99264303216</v>
      </c>
      <c r="V179" s="44"/>
      <c r="W179" s="44">
        <f t="shared" ca="1" si="2"/>
        <v>21624.417150689536</v>
      </c>
      <c r="X179" s="44">
        <f t="shared" ca="1" si="3"/>
        <v>25180.446352130675</v>
      </c>
    </row>
    <row r="180" spans="15:24">
      <c r="O180" s="43" t="str">
        <f>TEXT((月次返済表!A182-1)/12,"0.0")</f>
        <v>14.7</v>
      </c>
      <c r="P180" s="44">
        <f ca="1">月次返済表!S182</f>
        <v>58675.983076357508</v>
      </c>
      <c r="Q180" s="44">
        <f ca="1">月次返済表!T182</f>
        <v>69933.038768115803</v>
      </c>
      <c r="R180" s="44">
        <f ca="1">月次返済表!H182</f>
        <v>49911.415591821897</v>
      </c>
      <c r="S180" s="44">
        <f ca="1">月次返済表!I182</f>
        <v>75141.577051210275</v>
      </c>
      <c r="T180" s="44">
        <f ca="1">月次返済表!R182</f>
        <v>128609.0218444733</v>
      </c>
      <c r="U180" s="44">
        <f ca="1">月次返済表!G182</f>
        <v>125052.99264303216</v>
      </c>
      <c r="V180" s="44"/>
      <c r="W180" s="44">
        <f t="shared" ca="1" si="2"/>
        <v>21624.417150689536</v>
      </c>
      <c r="X180" s="44">
        <f t="shared" ca="1" si="3"/>
        <v>25180.446352130675</v>
      </c>
    </row>
    <row r="181" spans="15:24">
      <c r="O181" s="43" t="str">
        <f>TEXT((月次返済表!A183-1)/12,"0.0")</f>
        <v>14.8</v>
      </c>
      <c r="P181" s="44">
        <f ca="1">月次返済表!S183</f>
        <v>58501.150479437209</v>
      </c>
      <c r="Q181" s="44">
        <f ca="1">月次返済表!T183</f>
        <v>70107.871365036088</v>
      </c>
      <c r="R181" s="44">
        <f ca="1">月次返済表!H183</f>
        <v>49723.561649193871</v>
      </c>
      <c r="S181" s="44">
        <f ca="1">月次返済表!I183</f>
        <v>75329.430993838294</v>
      </c>
      <c r="T181" s="44">
        <f ca="1">月次返済表!R183</f>
        <v>128609.0218444733</v>
      </c>
      <c r="U181" s="44">
        <f ca="1">月次返済表!G183</f>
        <v>125052.99264303216</v>
      </c>
      <c r="V181" s="44"/>
      <c r="W181" s="44">
        <f t="shared" ca="1" si="2"/>
        <v>21624.417150689536</v>
      </c>
      <c r="X181" s="44">
        <f t="shared" ca="1" si="3"/>
        <v>25180.446352130675</v>
      </c>
    </row>
    <row r="182" spans="15:24">
      <c r="O182" s="43" t="str">
        <f>TEXT((月次返済表!A184-1)/12,"0.0")</f>
        <v>14.8</v>
      </c>
      <c r="P182" s="44">
        <f ca="1">月次返済表!S184</f>
        <v>58325.880801024621</v>
      </c>
      <c r="Q182" s="44">
        <f ca="1">月次返済表!T184</f>
        <v>70283.141043448675</v>
      </c>
      <c r="R182" s="44">
        <f ca="1">月次返済表!H184</f>
        <v>49535.238071709267</v>
      </c>
      <c r="S182" s="44">
        <f ca="1">月次返済表!I184</f>
        <v>75517.754571322905</v>
      </c>
      <c r="T182" s="44">
        <f ca="1">月次返済表!R184</f>
        <v>128609.0218444733</v>
      </c>
      <c r="U182" s="44">
        <f ca="1">月次返済表!G184</f>
        <v>125052.99264303216</v>
      </c>
      <c r="V182" s="44"/>
      <c r="W182" s="44">
        <f t="shared" ca="1" si="2"/>
        <v>21624.417150689536</v>
      </c>
      <c r="X182" s="44">
        <f t="shared" ca="1" si="3"/>
        <v>25180.446352130675</v>
      </c>
    </row>
    <row r="183" spans="15:24">
      <c r="O183" s="43" t="str">
        <f>TEXT((月次返済表!A185-1)/12,"0.0")</f>
        <v>14.9</v>
      </c>
      <c r="P183" s="44">
        <f ca="1">月次返済表!S185</f>
        <v>58150.172948416002</v>
      </c>
      <c r="Q183" s="44">
        <f ca="1">月次返済表!T185</f>
        <v>70458.848896057301</v>
      </c>
      <c r="R183" s="44">
        <f ca="1">月次返済表!H185</f>
        <v>49346.443685280967</v>
      </c>
      <c r="S183" s="44">
        <f ca="1">月次返済表!I185</f>
        <v>75706.548957751191</v>
      </c>
      <c r="T183" s="44">
        <f ca="1">月次返済表!R185</f>
        <v>128609.0218444733</v>
      </c>
      <c r="U183" s="44">
        <f ca="1">月次返済表!G185</f>
        <v>125052.99264303216</v>
      </c>
      <c r="V183" s="44"/>
      <c r="W183" s="44">
        <f t="shared" ca="1" si="2"/>
        <v>21624.417150689536</v>
      </c>
      <c r="X183" s="44">
        <f t="shared" ca="1" si="3"/>
        <v>25180.446352130675</v>
      </c>
    </row>
    <row r="184" spans="15:24">
      <c r="O184" s="43" t="str">
        <f>TEXT((月次返済表!A186-1)/12,"0.0")</f>
        <v>15.0</v>
      </c>
      <c r="P184" s="44">
        <f ca="1">月次返済表!S186</f>
        <v>77298.701101567814</v>
      </c>
      <c r="Q184" s="44">
        <f ca="1">月次返済表!T186</f>
        <v>63225.775942265944</v>
      </c>
      <c r="R184" s="44">
        <f ca="1">月次返済表!H186</f>
        <v>65542.903083848796</v>
      </c>
      <c r="S184" s="44">
        <f ca="1">月次返済表!I186</f>
        <v>69315.328427966189</v>
      </c>
      <c r="T184" s="44">
        <f ca="1">月次返済表!R186</f>
        <v>140524.47704383376</v>
      </c>
      <c r="U184" s="44">
        <f ca="1">月次返済表!G186</f>
        <v>134858.23151181499</v>
      </c>
      <c r="V184" s="44"/>
      <c r="W184" s="44">
        <f t="shared" ca="1" si="2"/>
        <v>9708.9619513290818</v>
      </c>
      <c r="X184" s="44">
        <f t="shared" ca="1" si="3"/>
        <v>15375.207483347855</v>
      </c>
    </row>
    <row r="185" spans="15:24">
      <c r="O185" s="43" t="str">
        <f>TEXT((月次返済表!A187-1)/12,"0.0")</f>
        <v>15.1</v>
      </c>
      <c r="P185" s="44">
        <f ca="1">月次返済表!S187</f>
        <v>77087.948515093609</v>
      </c>
      <c r="Q185" s="44">
        <f ca="1">月次返済表!T187</f>
        <v>63436.528528740149</v>
      </c>
      <c r="R185" s="44">
        <f ca="1">月次返済表!H187</f>
        <v>65311.8519890889</v>
      </c>
      <c r="S185" s="44">
        <f ca="1">月次返済表!I187</f>
        <v>69546.379522726085</v>
      </c>
      <c r="T185" s="44">
        <f ca="1">月次返済表!R187</f>
        <v>140524.47704383376</v>
      </c>
      <c r="U185" s="44">
        <f ca="1">月次返済表!G187</f>
        <v>134858.23151181499</v>
      </c>
      <c r="V185" s="44"/>
      <c r="W185" s="44">
        <f t="shared" ca="1" si="2"/>
        <v>9708.9619513290818</v>
      </c>
      <c r="X185" s="44">
        <f t="shared" ca="1" si="3"/>
        <v>15375.207483347855</v>
      </c>
    </row>
    <row r="186" spans="15:24">
      <c r="O186" s="43" t="str">
        <f>TEXT((月次返済表!A188-1)/12,"0.0")</f>
        <v>15.2</v>
      </c>
      <c r="P186" s="44">
        <f ca="1">月次返済表!S188</f>
        <v>76876.493419997802</v>
      </c>
      <c r="Q186" s="44">
        <f ca="1">月次返済表!T188</f>
        <v>63647.983623835957</v>
      </c>
      <c r="R186" s="44">
        <f ca="1">月次返済表!H188</f>
        <v>65080.030724013144</v>
      </c>
      <c r="S186" s="44">
        <f ca="1">月次返済表!I188</f>
        <v>69778.200787801848</v>
      </c>
      <c r="T186" s="44">
        <f ca="1">月次返済表!R188</f>
        <v>140524.47704383376</v>
      </c>
      <c r="U186" s="44">
        <f ca="1">月次返済表!G188</f>
        <v>134858.23151181499</v>
      </c>
      <c r="V186" s="44"/>
      <c r="W186" s="44">
        <f t="shared" ca="1" si="2"/>
        <v>9708.9619513290818</v>
      </c>
      <c r="X186" s="44">
        <f t="shared" ca="1" si="3"/>
        <v>15375.207483347855</v>
      </c>
    </row>
    <row r="187" spans="15:24">
      <c r="O187" s="43" t="str">
        <f>TEXT((月次返済表!A189-1)/12,"0.0")</f>
        <v>15.3</v>
      </c>
      <c r="P187" s="44">
        <f ca="1">月次返済表!S189</f>
        <v>76664.333474585015</v>
      </c>
      <c r="Q187" s="44">
        <f ca="1">月次返済表!T189</f>
        <v>63860.143569248743</v>
      </c>
      <c r="R187" s="44">
        <f ca="1">月次返済表!H189</f>
        <v>64847.436721387145</v>
      </c>
      <c r="S187" s="44">
        <f ca="1">月次返済表!I189</f>
        <v>70010.794790427841</v>
      </c>
      <c r="T187" s="44">
        <f ca="1">月次返済表!R189</f>
        <v>140524.47704383376</v>
      </c>
      <c r="U187" s="44">
        <f ca="1">月次返済表!G189</f>
        <v>134858.23151181499</v>
      </c>
      <c r="V187" s="44"/>
      <c r="W187" s="44">
        <f t="shared" ca="1" si="2"/>
        <v>9708.9619513290818</v>
      </c>
      <c r="X187" s="44">
        <f t="shared" ca="1" si="3"/>
        <v>15375.207483347855</v>
      </c>
    </row>
    <row r="188" spans="15:24">
      <c r="O188" s="43" t="str">
        <f>TEXT((月次返済表!A190-1)/12,"0.0")</f>
        <v>15.3</v>
      </c>
      <c r="P188" s="44">
        <f ca="1">月次返済表!S190</f>
        <v>76451.466329354182</v>
      </c>
      <c r="Q188" s="44">
        <f ca="1">月次返済表!T190</f>
        <v>64073.010714479577</v>
      </c>
      <c r="R188" s="44">
        <f ca="1">月次返済表!H190</f>
        <v>64614.067405419053</v>
      </c>
      <c r="S188" s="44">
        <f ca="1">月次返済表!I190</f>
        <v>70244.16410639594</v>
      </c>
      <c r="T188" s="44">
        <f ca="1">月次返済表!R190</f>
        <v>140524.47704383376</v>
      </c>
      <c r="U188" s="44">
        <f ca="1">月次返済表!G190</f>
        <v>134858.23151181499</v>
      </c>
      <c r="V188" s="44"/>
      <c r="W188" s="44">
        <f t="shared" ca="1" si="2"/>
        <v>9708.9619513290818</v>
      </c>
      <c r="X188" s="44">
        <f t="shared" ca="1" si="3"/>
        <v>15375.207483347855</v>
      </c>
    </row>
    <row r="189" spans="15:24">
      <c r="O189" s="43" t="str">
        <f>TEXT((月次返済表!A191-1)/12,"0.0")</f>
        <v>15.4</v>
      </c>
      <c r="P189" s="44">
        <f ca="1">月次返済表!S191</f>
        <v>76237.889626972596</v>
      </c>
      <c r="Q189" s="44">
        <f ca="1">月次返済表!T191</f>
        <v>64286.587416861163</v>
      </c>
      <c r="R189" s="44">
        <f ca="1">月次返済表!H191</f>
        <v>64379.920191731071</v>
      </c>
      <c r="S189" s="44">
        <f ca="1">月次返済表!I191</f>
        <v>70478.311320083914</v>
      </c>
      <c r="T189" s="44">
        <f ca="1">月次返済表!R191</f>
        <v>140524.47704383376</v>
      </c>
      <c r="U189" s="44">
        <f ca="1">月次返済表!G191</f>
        <v>134858.23151181499</v>
      </c>
      <c r="V189" s="44"/>
      <c r="W189" s="44">
        <f t="shared" ca="1" si="2"/>
        <v>9708.9619513290818</v>
      </c>
      <c r="X189" s="44">
        <f t="shared" ca="1" si="3"/>
        <v>15375.207483347855</v>
      </c>
    </row>
    <row r="190" spans="15:24">
      <c r="O190" s="43" t="str">
        <f>TEXT((月次返済表!A192-1)/12,"0.0")</f>
        <v>15.5</v>
      </c>
      <c r="P190" s="44">
        <f ca="1">月次返済表!S192</f>
        <v>76023.601002249721</v>
      </c>
      <c r="Q190" s="44">
        <f ca="1">月次返済表!T192</f>
        <v>64500.876041584037</v>
      </c>
      <c r="R190" s="44">
        <f ca="1">月次返済表!H192</f>
        <v>64144.992487330783</v>
      </c>
      <c r="S190" s="44">
        <f ca="1">月次返済表!I192</f>
        <v>70713.23902448421</v>
      </c>
      <c r="T190" s="44">
        <f ca="1">月次返済表!R192</f>
        <v>140524.47704383376</v>
      </c>
      <c r="U190" s="44">
        <f ca="1">月次返済表!G192</f>
        <v>134858.23151181499</v>
      </c>
      <c r="V190" s="44"/>
      <c r="W190" s="44">
        <f t="shared" ca="1" si="2"/>
        <v>9708.9619513290818</v>
      </c>
      <c r="X190" s="44">
        <f t="shared" ca="1" si="3"/>
        <v>15375.207483347855</v>
      </c>
    </row>
    <row r="191" spans="15:24">
      <c r="O191" s="43" t="str">
        <f>TEXT((月次返済表!A193-1)/12,"0.0")</f>
        <v>15.6</v>
      </c>
      <c r="P191" s="44">
        <f ca="1">月次返済表!S193</f>
        <v>75808.598082111115</v>
      </c>
      <c r="Q191" s="44">
        <f ca="1">月次返済表!T193</f>
        <v>64715.878961722643</v>
      </c>
      <c r="R191" s="44">
        <f ca="1">月次返済表!H193</f>
        <v>63909.281690582509</v>
      </c>
      <c r="S191" s="44">
        <f ca="1">月次返済表!I193</f>
        <v>70948.949821232469</v>
      </c>
      <c r="T191" s="44">
        <f ca="1">月次返済表!R193</f>
        <v>140524.47704383376</v>
      </c>
      <c r="U191" s="44">
        <f ca="1">月次返済表!G193</f>
        <v>134858.23151181499</v>
      </c>
      <c r="V191" s="44"/>
      <c r="W191" s="44">
        <f t="shared" ca="1" si="2"/>
        <v>9708.9619513290818</v>
      </c>
      <c r="X191" s="44">
        <f t="shared" ca="1" si="3"/>
        <v>15375.207483347855</v>
      </c>
    </row>
    <row r="192" spans="15:24">
      <c r="O192" s="43" t="str">
        <f>TEXT((月次返済表!A194-1)/12,"0.0")</f>
        <v>15.7</v>
      </c>
      <c r="P192" s="44">
        <f ca="1">月次返済表!S194</f>
        <v>75592.87848557203</v>
      </c>
      <c r="Q192" s="44">
        <f ca="1">月次返済表!T194</f>
        <v>64931.598558261729</v>
      </c>
      <c r="R192" s="44">
        <f ca="1">月次返済表!H194</f>
        <v>63672.785191178402</v>
      </c>
      <c r="S192" s="44">
        <f ca="1">月次返済表!I194</f>
        <v>71185.446320636576</v>
      </c>
      <c r="T192" s="44">
        <f ca="1">月次返済表!R194</f>
        <v>140524.47704383376</v>
      </c>
      <c r="U192" s="44">
        <f ca="1">月次返済表!G194</f>
        <v>134858.23151181499</v>
      </c>
      <c r="V192" s="44"/>
      <c r="W192" s="44">
        <f t="shared" ca="1" si="2"/>
        <v>9708.9619513290818</v>
      </c>
      <c r="X192" s="44">
        <f t="shared" ca="1" si="3"/>
        <v>15375.207483347855</v>
      </c>
    </row>
    <row r="193" spans="15:24">
      <c r="O193" s="43" t="str">
        <f>TEXT((月次返済表!A195-1)/12,"0.0")</f>
        <v>15.8</v>
      </c>
      <c r="P193" s="44">
        <f ca="1">月次返済表!S195</f>
        <v>75376.43982371116</v>
      </c>
      <c r="Q193" s="44">
        <f ca="1">月次返済表!T195</f>
        <v>65148.037220122598</v>
      </c>
      <c r="R193" s="44">
        <f ca="1">月次返済表!H195</f>
        <v>63435.500370109599</v>
      </c>
      <c r="S193" s="44">
        <f ca="1">月次返済表!I195</f>
        <v>71422.731141705386</v>
      </c>
      <c r="T193" s="44">
        <f ca="1">月次返済表!R195</f>
        <v>140524.47704383376</v>
      </c>
      <c r="U193" s="44">
        <f ca="1">月次返済表!G195</f>
        <v>134858.23151181499</v>
      </c>
      <c r="V193" s="44"/>
      <c r="W193" s="44">
        <f t="shared" ca="1" si="2"/>
        <v>9708.9619513290818</v>
      </c>
      <c r="X193" s="44">
        <f t="shared" ca="1" si="3"/>
        <v>15375.207483347855</v>
      </c>
    </row>
    <row r="194" spans="15:24">
      <c r="O194" s="43" t="str">
        <f>TEXT((月次返済表!A196-1)/12,"0.0")</f>
        <v>15.8</v>
      </c>
      <c r="P194" s="44">
        <f ca="1">月次返済表!S196</f>
        <v>75159.279699644074</v>
      </c>
      <c r="Q194" s="44">
        <f ca="1">月次返済表!T196</f>
        <v>65365.197344189684</v>
      </c>
      <c r="R194" s="44">
        <f ca="1">月次返済表!H196</f>
        <v>63197.424599637256</v>
      </c>
      <c r="S194" s="44">
        <f ca="1">月次返済表!I196</f>
        <v>71660.806912177737</v>
      </c>
      <c r="T194" s="44">
        <f ca="1">月次返済表!R196</f>
        <v>140524.47704383376</v>
      </c>
      <c r="U194" s="44">
        <f ca="1">月次返済表!G196</f>
        <v>134858.23151181499</v>
      </c>
      <c r="V194" s="44"/>
      <c r="W194" s="44">
        <f t="shared" ca="1" si="2"/>
        <v>9708.9619513290818</v>
      </c>
      <c r="X194" s="44">
        <f t="shared" ca="1" si="3"/>
        <v>15375.207483347855</v>
      </c>
    </row>
    <row r="195" spans="15:24">
      <c r="O195" s="43" t="str">
        <f>TEXT((月次返済表!A197-1)/12,"0.0")</f>
        <v>15.9</v>
      </c>
      <c r="P195" s="44">
        <f ca="1">月次返済表!S197</f>
        <v>74941.39570849677</v>
      </c>
      <c r="Q195" s="44">
        <f ca="1">月次返済表!T197</f>
        <v>65583.081335336989</v>
      </c>
      <c r="R195" s="44">
        <f ca="1">月次返済表!H197</f>
        <v>62958.555243263334</v>
      </c>
      <c r="S195" s="44">
        <f ca="1">月次返済表!I197</f>
        <v>71899.676268551644</v>
      </c>
      <c r="T195" s="44">
        <f ca="1">月次返済表!R197</f>
        <v>140524.47704383376</v>
      </c>
      <c r="U195" s="44">
        <f ca="1">月次返済表!G197</f>
        <v>134858.23151181499</v>
      </c>
      <c r="V195" s="44"/>
      <c r="W195" s="44">
        <f t="shared" ca="1" si="2"/>
        <v>9708.9619513290818</v>
      </c>
      <c r="X195" s="44">
        <f t="shared" ca="1" si="3"/>
        <v>15375.207483347855</v>
      </c>
    </row>
    <row r="196" spans="15:24">
      <c r="O196" s="43" t="str">
        <f>TEXT((月次返済表!A198-1)/12,"0.0")</f>
        <v>16.0</v>
      </c>
      <c r="P196" s="44">
        <f ca="1">月次返済表!S198</f>
        <v>74722.785437378989</v>
      </c>
      <c r="Q196" s="44">
        <f ca="1">月次返済表!T198</f>
        <v>65801.691606454769</v>
      </c>
      <c r="R196" s="44">
        <f ca="1">月次返済表!H198</f>
        <v>62718.889655701496</v>
      </c>
      <c r="S196" s="44">
        <f ca="1">月次返済表!I198</f>
        <v>72139.341856113489</v>
      </c>
      <c r="T196" s="44">
        <f ca="1">月次返済表!R198</f>
        <v>140524.47704383376</v>
      </c>
      <c r="U196" s="44">
        <f ca="1">月次返済表!G198</f>
        <v>134858.23151181499</v>
      </c>
      <c r="V196" s="44"/>
      <c r="W196" s="44">
        <f t="shared" ref="W196:W259" ca="1" si="4">$V$6-T196</f>
        <v>9708.9619513290818</v>
      </c>
      <c r="X196" s="44">
        <f t="shared" ref="X196:X259" ca="1" si="5">$V$6-U196</f>
        <v>15375.207483347855</v>
      </c>
    </row>
    <row r="197" spans="15:24">
      <c r="O197" s="43" t="str">
        <f>TEXT((月次返済表!A199-1)/12,"0.0")</f>
        <v>16.1</v>
      </c>
      <c r="P197" s="44">
        <f ca="1">月次返済表!S199</f>
        <v>74503.446465357469</v>
      </c>
      <c r="Q197" s="44">
        <f ca="1">月次返済表!T199</f>
        <v>66021.03057847629</v>
      </c>
      <c r="R197" s="44">
        <f ca="1">月次返済表!H199</f>
        <v>62478.425182847779</v>
      </c>
      <c r="S197" s="44">
        <f ca="1">月次返済表!I199</f>
        <v>72379.806328967214</v>
      </c>
      <c r="T197" s="44">
        <f ca="1">月次返済表!R199</f>
        <v>140524.47704383376</v>
      </c>
      <c r="U197" s="44">
        <f ca="1">月次返済表!G199</f>
        <v>134858.23151181499</v>
      </c>
      <c r="V197" s="44"/>
      <c r="W197" s="44">
        <f t="shared" ca="1" si="4"/>
        <v>9708.9619513290818</v>
      </c>
      <c r="X197" s="44">
        <f t="shared" ca="1" si="5"/>
        <v>15375.207483347855</v>
      </c>
    </row>
    <row r="198" spans="15:24">
      <c r="O198" s="43" t="str">
        <f>TEXT((月次返済表!A200-1)/12,"0.0")</f>
        <v>16.2</v>
      </c>
      <c r="P198" s="44">
        <f ca="1">月次返済表!S200</f>
        <v>74283.376363429226</v>
      </c>
      <c r="Q198" s="44">
        <f ca="1">月次返済表!T200</f>
        <v>66241.100680404532</v>
      </c>
      <c r="R198" s="44">
        <f ca="1">月次返済表!H200</f>
        <v>62237.159161751224</v>
      </c>
      <c r="S198" s="44">
        <f ca="1">月次返済表!I200</f>
        <v>72621.072350063769</v>
      </c>
      <c r="T198" s="44">
        <f ca="1">月次返済表!R200</f>
        <v>140524.47704383376</v>
      </c>
      <c r="U198" s="44">
        <f ca="1">月次返済表!G200</f>
        <v>134858.23151181499</v>
      </c>
      <c r="V198" s="44"/>
      <c r="W198" s="44">
        <f t="shared" ca="1" si="4"/>
        <v>9708.9619513290818</v>
      </c>
      <c r="X198" s="44">
        <f t="shared" ca="1" si="5"/>
        <v>15375.207483347855</v>
      </c>
    </row>
    <row r="199" spans="15:24">
      <c r="O199" s="43" t="str">
        <f>TEXT((月次返済表!A201-1)/12,"0.0")</f>
        <v>16.3</v>
      </c>
      <c r="P199" s="44">
        <f ca="1">月次返済表!S201</f>
        <v>74062.572694494549</v>
      </c>
      <c r="Q199" s="44">
        <f ca="1">月次返済表!T201</f>
        <v>66461.904349339209</v>
      </c>
      <c r="R199" s="44">
        <f ca="1">月次返済表!H201</f>
        <v>61995.088920584349</v>
      </c>
      <c r="S199" s="44">
        <f ca="1">月次返済表!I201</f>
        <v>72863.142591230629</v>
      </c>
      <c r="T199" s="44">
        <f ca="1">月次返済表!R201</f>
        <v>140524.47704383376</v>
      </c>
      <c r="U199" s="44">
        <f ca="1">月次返済表!G201</f>
        <v>134858.23151181499</v>
      </c>
      <c r="V199" s="44"/>
      <c r="W199" s="44">
        <f t="shared" ca="1" si="4"/>
        <v>9708.9619513290818</v>
      </c>
      <c r="X199" s="44">
        <f t="shared" ca="1" si="5"/>
        <v>15375.207483347855</v>
      </c>
    </row>
    <row r="200" spans="15:24">
      <c r="O200" s="43" t="str">
        <f>TEXT((月次返済表!A202-1)/12,"0.0")</f>
        <v>16.3</v>
      </c>
      <c r="P200" s="44">
        <f ca="1">月次返済表!S202</f>
        <v>73841.033013330074</v>
      </c>
      <c r="Q200" s="44">
        <f ca="1">月次返済表!T202</f>
        <v>66683.444030503684</v>
      </c>
      <c r="R200" s="44">
        <f ca="1">月次返済表!H202</f>
        <v>61752.211778613571</v>
      </c>
      <c r="S200" s="44">
        <f ca="1">月次返済表!I202</f>
        <v>73106.019733201421</v>
      </c>
      <c r="T200" s="44">
        <f ca="1">月次返済表!R202</f>
        <v>140524.47704383376</v>
      </c>
      <c r="U200" s="44">
        <f ca="1">月次返済表!G202</f>
        <v>134858.23151181499</v>
      </c>
      <c r="V200" s="44"/>
      <c r="W200" s="44">
        <f t="shared" ca="1" si="4"/>
        <v>9708.9619513290818</v>
      </c>
      <c r="X200" s="44">
        <f t="shared" ca="1" si="5"/>
        <v>15375.207483347855</v>
      </c>
    </row>
    <row r="201" spans="15:24">
      <c r="O201" s="43" t="str">
        <f>TEXT((月次返済表!A203-1)/12,"0.0")</f>
        <v>16.4</v>
      </c>
      <c r="P201" s="44">
        <f ca="1">月次返済表!S203</f>
        <v>73618.754866561721</v>
      </c>
      <c r="Q201" s="44">
        <f ca="1">月次返済表!T203</f>
        <v>66905.722177272037</v>
      </c>
      <c r="R201" s="44">
        <f ca="1">月次返済表!H203</f>
        <v>61508.525046169576</v>
      </c>
      <c r="S201" s="44">
        <f ca="1">月次返済表!I203</f>
        <v>73349.706465645402</v>
      </c>
      <c r="T201" s="44">
        <f ca="1">月次返済表!R203</f>
        <v>140524.47704383376</v>
      </c>
      <c r="U201" s="44">
        <f ca="1">月次返済表!G203</f>
        <v>134858.23151181499</v>
      </c>
      <c r="V201" s="44"/>
      <c r="W201" s="44">
        <f t="shared" ca="1" si="4"/>
        <v>9708.9619513290818</v>
      </c>
      <c r="X201" s="44">
        <f t="shared" ca="1" si="5"/>
        <v>15375.207483347855</v>
      </c>
    </row>
    <row r="202" spans="15:24">
      <c r="O202" s="43" t="str">
        <f>TEXT((月次返済表!A204-1)/12,"0.0")</f>
        <v>16.5</v>
      </c>
      <c r="P202" s="44">
        <f ca="1">月次返済表!S204</f>
        <v>73395.735792637497</v>
      </c>
      <c r="Q202" s="44">
        <f ca="1">月次返済表!T204</f>
        <v>67128.741251196261</v>
      </c>
      <c r="R202" s="44">
        <f ca="1">月次返済表!H204</f>
        <v>61264.026024617422</v>
      </c>
      <c r="S202" s="44">
        <f ca="1">月次返済表!I204</f>
        <v>73594.205487197556</v>
      </c>
      <c r="T202" s="44">
        <f ca="1">月次返済表!R204</f>
        <v>140524.47704383376</v>
      </c>
      <c r="U202" s="44">
        <f ca="1">月次返済表!G204</f>
        <v>134858.23151181499</v>
      </c>
      <c r="V202" s="44"/>
      <c r="W202" s="44">
        <f t="shared" ca="1" si="4"/>
        <v>9708.9619513290818</v>
      </c>
      <c r="X202" s="44">
        <f t="shared" ca="1" si="5"/>
        <v>15375.207483347855</v>
      </c>
    </row>
    <row r="203" spans="15:24">
      <c r="O203" s="43" t="str">
        <f>TEXT((月次返済表!A205-1)/12,"0.0")</f>
        <v>16.6</v>
      </c>
      <c r="P203" s="44">
        <f ca="1">月次返済表!S205</f>
        <v>73171.973321800164</v>
      </c>
      <c r="Q203" s="44">
        <f ca="1">月次返済表!T205</f>
        <v>67352.503722033594</v>
      </c>
      <c r="R203" s="44">
        <f ca="1">月次返済表!H205</f>
        <v>61018.712006326758</v>
      </c>
      <c r="S203" s="44">
        <f ca="1">月次返済表!I205</f>
        <v>73839.519505488221</v>
      </c>
      <c r="T203" s="44">
        <f ca="1">月次返済表!R205</f>
        <v>140524.47704383376</v>
      </c>
      <c r="U203" s="44">
        <f ca="1">月次返済表!G205</f>
        <v>134858.23151181499</v>
      </c>
      <c r="V203" s="44"/>
      <c r="W203" s="44">
        <f t="shared" ca="1" si="4"/>
        <v>9708.9619513290818</v>
      </c>
      <c r="X203" s="44">
        <f t="shared" ca="1" si="5"/>
        <v>15375.207483347855</v>
      </c>
    </row>
    <row r="204" spans="15:24">
      <c r="O204" s="43" t="str">
        <f>TEXT((月次返済表!A206-1)/12,"0.0")</f>
        <v>16.7</v>
      </c>
      <c r="P204" s="44">
        <f ca="1">月次返済表!S206</f>
        <v>72947.464976060059</v>
      </c>
      <c r="Q204" s="44">
        <f ca="1">月次返済表!T206</f>
        <v>67577.0120677737</v>
      </c>
      <c r="R204" s="44">
        <f ca="1">月次返済表!H206</f>
        <v>60772.580274641783</v>
      </c>
      <c r="S204" s="44">
        <f ca="1">月次返済表!I206</f>
        <v>74085.65123717321</v>
      </c>
      <c r="T204" s="44">
        <f ca="1">月次返済表!R206</f>
        <v>140524.47704383376</v>
      </c>
      <c r="U204" s="44">
        <f ca="1">月次返済表!G206</f>
        <v>134858.23151181499</v>
      </c>
      <c r="V204" s="44"/>
      <c r="W204" s="44">
        <f t="shared" ca="1" si="4"/>
        <v>9708.9619513290818</v>
      </c>
      <c r="X204" s="44">
        <f t="shared" ca="1" si="5"/>
        <v>15375.207483347855</v>
      </c>
    </row>
    <row r="205" spans="15:24">
      <c r="O205" s="43" t="str">
        <f>TEXT((月次返済表!A207-1)/12,"0.0")</f>
        <v>16.8</v>
      </c>
      <c r="P205" s="44">
        <f ca="1">月次返済表!S207</f>
        <v>72722.208269167473</v>
      </c>
      <c r="Q205" s="44">
        <f ca="1">月次返済表!T207</f>
        <v>67802.268774666285</v>
      </c>
      <c r="R205" s="44">
        <f ca="1">月次返済表!H207</f>
        <v>60525.628103851202</v>
      </c>
      <c r="S205" s="44">
        <f ca="1">月次返済表!I207</f>
        <v>74332.60340796379</v>
      </c>
      <c r="T205" s="44">
        <f ca="1">月次返済表!R207</f>
        <v>140524.47704383376</v>
      </c>
      <c r="U205" s="44">
        <f ca="1">月次返済表!G207</f>
        <v>134858.23151181499</v>
      </c>
      <c r="V205" s="44"/>
      <c r="W205" s="44">
        <f t="shared" ca="1" si="4"/>
        <v>9708.9619513290818</v>
      </c>
      <c r="X205" s="44">
        <f t="shared" ca="1" si="5"/>
        <v>15375.207483347855</v>
      </c>
    </row>
    <row r="206" spans="15:24">
      <c r="O206" s="43" t="str">
        <f>TEXT((月次返済表!A208-1)/12,"0.0")</f>
        <v>16.8</v>
      </c>
      <c r="P206" s="44">
        <f ca="1">月次返済表!S208</f>
        <v>72496.200706585267</v>
      </c>
      <c r="Q206" s="44">
        <f ca="1">月次返済表!T208</f>
        <v>68028.276337248491</v>
      </c>
      <c r="R206" s="44">
        <f ca="1">月次返済表!H208</f>
        <v>60277.852759157999</v>
      </c>
      <c r="S206" s="44">
        <f ca="1">月次返済表!I208</f>
        <v>74580.378752656979</v>
      </c>
      <c r="T206" s="44">
        <f ca="1">月次返済表!R208</f>
        <v>140524.47704383376</v>
      </c>
      <c r="U206" s="44">
        <f ca="1">月次返済表!G208</f>
        <v>134858.23151181499</v>
      </c>
      <c r="V206" s="44"/>
      <c r="W206" s="44">
        <f t="shared" ca="1" si="4"/>
        <v>9708.9619513290818</v>
      </c>
      <c r="X206" s="44">
        <f t="shared" ca="1" si="5"/>
        <v>15375.207483347855</v>
      </c>
    </row>
    <row r="207" spans="15:24">
      <c r="O207" s="43" t="str">
        <f>TEXT((月次返済表!A209-1)/12,"0.0")</f>
        <v>16.9</v>
      </c>
      <c r="P207" s="44">
        <f ca="1">月次返済表!S209</f>
        <v>72269.439785461102</v>
      </c>
      <c r="Q207" s="44">
        <f ca="1">月次返済表!T209</f>
        <v>68255.037258372657</v>
      </c>
      <c r="R207" s="44">
        <f ca="1">月次返済表!H209</f>
        <v>60029.251496649136</v>
      </c>
      <c r="S207" s="44">
        <f ca="1">月次返済表!I209</f>
        <v>74828.980015165842</v>
      </c>
      <c r="T207" s="44">
        <f ca="1">月次返済表!R209</f>
        <v>140524.47704383376</v>
      </c>
      <c r="U207" s="44">
        <f ca="1">月次返済表!G209</f>
        <v>134858.23151181499</v>
      </c>
      <c r="V207" s="44"/>
      <c r="W207" s="44">
        <f t="shared" ca="1" si="4"/>
        <v>9708.9619513290818</v>
      </c>
      <c r="X207" s="44">
        <f t="shared" ca="1" si="5"/>
        <v>15375.207483347855</v>
      </c>
    </row>
    <row r="208" spans="15:24">
      <c r="O208" s="43" t="str">
        <f>TEXT((月次返済表!A210-1)/12,"0.0")</f>
        <v>17.0</v>
      </c>
      <c r="P208" s="44">
        <f ca="1">月次返済表!S210</f>
        <v>72041.922994599867</v>
      </c>
      <c r="Q208" s="44">
        <f ca="1">月次返済表!T210</f>
        <v>68482.554049233891</v>
      </c>
      <c r="R208" s="44">
        <f ca="1">月次返済表!H210</f>
        <v>59779.82156326525</v>
      </c>
      <c r="S208" s="44">
        <f ca="1">月次返済表!I210</f>
        <v>75078.409948549728</v>
      </c>
      <c r="T208" s="44">
        <f ca="1">月次返済表!R210</f>
        <v>140524.47704383376</v>
      </c>
      <c r="U208" s="44">
        <f ca="1">月次返済表!G210</f>
        <v>134858.23151181499</v>
      </c>
      <c r="V208" s="44"/>
      <c r="W208" s="44">
        <f t="shared" ca="1" si="4"/>
        <v>9708.9619513290818</v>
      </c>
      <c r="X208" s="44">
        <f t="shared" ca="1" si="5"/>
        <v>15375.207483347855</v>
      </c>
    </row>
    <row r="209" spans="15:24">
      <c r="O209" s="43" t="str">
        <f>TEXT((月次返済表!A211-1)/12,"0.0")</f>
        <v>17.1</v>
      </c>
      <c r="P209" s="44">
        <f ca="1">月次返済表!S211</f>
        <v>71813.647814435753</v>
      </c>
      <c r="Q209" s="44">
        <f ca="1">月次返済表!T211</f>
        <v>68710.829229398005</v>
      </c>
      <c r="R209" s="44">
        <f ca="1">月次返済表!H211</f>
        <v>59529.560196770086</v>
      </c>
      <c r="S209" s="44">
        <f ca="1">月次返済表!I211</f>
        <v>75328.671315044892</v>
      </c>
      <c r="T209" s="44">
        <f ca="1">月次返済表!R211</f>
        <v>140524.47704383376</v>
      </c>
      <c r="U209" s="44">
        <f ca="1">月次返済表!G211</f>
        <v>134858.23151181499</v>
      </c>
      <c r="V209" s="44"/>
      <c r="W209" s="44">
        <f t="shared" ca="1" si="4"/>
        <v>9708.9619513290818</v>
      </c>
      <c r="X209" s="44">
        <f t="shared" ca="1" si="5"/>
        <v>15375.207483347855</v>
      </c>
    </row>
    <row r="210" spans="15:24">
      <c r="O210" s="43" t="str">
        <f>TEXT((月次返済表!A212-1)/12,"0.0")</f>
        <v>17.2</v>
      </c>
      <c r="P210" s="44">
        <f ca="1">月次返済表!S212</f>
        <v>71584.611717004416</v>
      </c>
      <c r="Q210" s="44">
        <f ca="1">月次返済表!T212</f>
        <v>68939.865326829342</v>
      </c>
      <c r="R210" s="44">
        <f ca="1">月次返済表!H212</f>
        <v>59278.464625719935</v>
      </c>
      <c r="S210" s="44">
        <f ca="1">月次返済表!I212</f>
        <v>75579.766886095051</v>
      </c>
      <c r="T210" s="44">
        <f ca="1">月次返済表!R212</f>
        <v>140524.47704383376</v>
      </c>
      <c r="U210" s="44">
        <f ca="1">月次返済表!G212</f>
        <v>134858.23151181499</v>
      </c>
      <c r="V210" s="44"/>
      <c r="W210" s="44">
        <f t="shared" ca="1" si="4"/>
        <v>9708.9619513290818</v>
      </c>
      <c r="X210" s="44">
        <f t="shared" ca="1" si="5"/>
        <v>15375.207483347855</v>
      </c>
    </row>
    <row r="211" spans="15:24">
      <c r="O211" s="43" t="str">
        <f>TEXT((月次返済表!A213-1)/12,"0.0")</f>
        <v>17.3</v>
      </c>
      <c r="P211" s="44">
        <f ca="1">月次返済表!S213</f>
        <v>71354.812165914991</v>
      </c>
      <c r="Q211" s="44">
        <f ca="1">月次返済表!T213</f>
        <v>69169.664877918767</v>
      </c>
      <c r="R211" s="44">
        <f ca="1">月次返済表!H213</f>
        <v>59026.532069432949</v>
      </c>
      <c r="S211" s="44">
        <f ca="1">月次返済表!I213</f>
        <v>75831.699442382029</v>
      </c>
      <c r="T211" s="44">
        <f ca="1">月次返済表!R213</f>
        <v>140524.47704383376</v>
      </c>
      <c r="U211" s="44">
        <f ca="1">月次返済表!G213</f>
        <v>134858.23151181499</v>
      </c>
      <c r="V211" s="44"/>
      <c r="W211" s="44">
        <f t="shared" ca="1" si="4"/>
        <v>9708.9619513290818</v>
      </c>
      <c r="X211" s="44">
        <f t="shared" ca="1" si="5"/>
        <v>15375.207483347855</v>
      </c>
    </row>
    <row r="212" spans="15:24">
      <c r="O212" s="43" t="str">
        <f>TEXT((月次返済表!A214-1)/12,"0.0")</f>
        <v>17.3</v>
      </c>
      <c r="P212" s="44">
        <f ca="1">月次返済表!S214</f>
        <v>71124.246616321921</v>
      </c>
      <c r="Q212" s="44">
        <f ca="1">月次返済表!T214</f>
        <v>69400.230427511837</v>
      </c>
      <c r="R212" s="44">
        <f ca="1">月次返済表!H214</f>
        <v>58773.759737958339</v>
      </c>
      <c r="S212" s="44">
        <f ca="1">月次返済表!I214</f>
        <v>76084.47177385664</v>
      </c>
      <c r="T212" s="44">
        <f ca="1">月次返済表!R214</f>
        <v>140524.47704383376</v>
      </c>
      <c r="U212" s="44">
        <f ca="1">月次返済表!G214</f>
        <v>134858.23151181499</v>
      </c>
      <c r="V212" s="44"/>
      <c r="W212" s="44">
        <f t="shared" ca="1" si="4"/>
        <v>9708.9619513290818</v>
      </c>
      <c r="X212" s="44">
        <f t="shared" ca="1" si="5"/>
        <v>15375.207483347855</v>
      </c>
    </row>
    <row r="213" spans="15:24">
      <c r="O213" s="43" t="str">
        <f>TEXT((月次返済表!A215-1)/12,"0.0")</f>
        <v>17.4</v>
      </c>
      <c r="P213" s="44">
        <f ca="1">月次返済表!S215</f>
        <v>70892.912514896889</v>
      </c>
      <c r="Q213" s="44">
        <f ca="1">月次返済表!T215</f>
        <v>69631.564528936869</v>
      </c>
      <c r="R213" s="44">
        <f ca="1">月次返済表!H215</f>
        <v>58520.144832045487</v>
      </c>
      <c r="S213" s="44">
        <f ca="1">月次返済表!I215</f>
        <v>76338.086679769505</v>
      </c>
      <c r="T213" s="44">
        <f ca="1">月次返済表!R215</f>
        <v>140524.47704383376</v>
      </c>
      <c r="U213" s="44">
        <f ca="1">月次返済表!G215</f>
        <v>134858.23151181499</v>
      </c>
      <c r="V213" s="44"/>
      <c r="W213" s="44">
        <f t="shared" ca="1" si="4"/>
        <v>9708.9619513290818</v>
      </c>
      <c r="X213" s="44">
        <f t="shared" ca="1" si="5"/>
        <v>15375.207483347855</v>
      </c>
    </row>
    <row r="214" spans="15:24">
      <c r="O214" s="43" t="str">
        <f>TEXT((月次返済表!A216-1)/12,"0.0")</f>
        <v>17.5</v>
      </c>
      <c r="P214" s="44">
        <f ca="1">月次返済表!S216</f>
        <v>70660.807299800435</v>
      </c>
      <c r="Q214" s="44">
        <f ca="1">月次返済表!T216</f>
        <v>69863.669744033323</v>
      </c>
      <c r="R214" s="44">
        <f ca="1">月次返済表!H216</f>
        <v>58265.684543112926</v>
      </c>
      <c r="S214" s="44">
        <f ca="1">月次返済表!I216</f>
        <v>76592.546968702052</v>
      </c>
      <c r="T214" s="44">
        <f ca="1">月次返済表!R216</f>
        <v>140524.47704383376</v>
      </c>
      <c r="U214" s="44">
        <f ca="1">月次返済表!G216</f>
        <v>134858.23151181499</v>
      </c>
      <c r="V214" s="44"/>
      <c r="W214" s="44">
        <f t="shared" ca="1" si="4"/>
        <v>9708.9619513290818</v>
      </c>
      <c r="X214" s="44">
        <f t="shared" ca="1" si="5"/>
        <v>15375.207483347855</v>
      </c>
    </row>
    <row r="215" spans="15:24">
      <c r="O215" s="43" t="str">
        <f>TEXT((月次返済表!A217-1)/12,"0.0")</f>
        <v>17.6</v>
      </c>
      <c r="P215" s="44">
        <f ca="1">月次返済表!S217</f>
        <v>70427.928400653647</v>
      </c>
      <c r="Q215" s="44">
        <f ca="1">月次返済表!T217</f>
        <v>70096.548643180111</v>
      </c>
      <c r="R215" s="44">
        <f ca="1">月次返済表!H217</f>
        <v>58010.376053217253</v>
      </c>
      <c r="S215" s="44">
        <f ca="1">月次返済表!I217</f>
        <v>76847.85545859774</v>
      </c>
      <c r="T215" s="44">
        <f ca="1">月次返済表!R217</f>
        <v>140524.47704383376</v>
      </c>
      <c r="U215" s="44">
        <f ca="1">月次返済表!G217</f>
        <v>134858.23151181499</v>
      </c>
      <c r="V215" s="44"/>
      <c r="W215" s="44">
        <f t="shared" ca="1" si="4"/>
        <v>9708.9619513290818</v>
      </c>
      <c r="X215" s="44">
        <f t="shared" ca="1" si="5"/>
        <v>15375.207483347855</v>
      </c>
    </row>
    <row r="216" spans="15:24">
      <c r="O216" s="43" t="str">
        <f>TEXT((月次返済表!A218-1)/12,"0.0")</f>
        <v>17.7</v>
      </c>
      <c r="P216" s="44">
        <f ca="1">月次返済表!S218</f>
        <v>70194.273238509719</v>
      </c>
      <c r="Q216" s="44">
        <f ca="1">月次返済表!T218</f>
        <v>70330.203805324039</v>
      </c>
      <c r="R216" s="44">
        <f ca="1">月次返済表!H218</f>
        <v>57754.216535021929</v>
      </c>
      <c r="S216" s="44">
        <f ca="1">月次返済表!I218</f>
        <v>77104.014976793056</v>
      </c>
      <c r="T216" s="44">
        <f ca="1">月次返済表!R218</f>
        <v>140524.47704383376</v>
      </c>
      <c r="U216" s="44">
        <f ca="1">月次返済表!G218</f>
        <v>134858.23151181499</v>
      </c>
      <c r="V216" s="44"/>
      <c r="W216" s="44">
        <f t="shared" ca="1" si="4"/>
        <v>9708.9619513290818</v>
      </c>
      <c r="X216" s="44">
        <f t="shared" ca="1" si="5"/>
        <v>15375.207483347855</v>
      </c>
    </row>
    <row r="217" spans="15:24">
      <c r="O217" s="43" t="str">
        <f>TEXT((月次返済表!A219-1)/12,"0.0")</f>
        <v>17.8</v>
      </c>
      <c r="P217" s="44">
        <f ca="1">月次返済表!S219</f>
        <v>69959.839225825315</v>
      </c>
      <c r="Q217" s="44">
        <f ca="1">月次返済表!T219</f>
        <v>70564.637818008443</v>
      </c>
      <c r="R217" s="44">
        <f ca="1">月次返済表!H219</f>
        <v>57497.203151765949</v>
      </c>
      <c r="S217" s="44">
        <f ca="1">月次返済表!I219</f>
        <v>77361.028360049037</v>
      </c>
      <c r="T217" s="44">
        <f ca="1">月次返済表!R219</f>
        <v>140524.47704383376</v>
      </c>
      <c r="U217" s="44">
        <f ca="1">月次返済表!G219</f>
        <v>134858.23151181499</v>
      </c>
      <c r="V217" s="44"/>
      <c r="W217" s="44">
        <f t="shared" ca="1" si="4"/>
        <v>9708.9619513290818</v>
      </c>
      <c r="X217" s="44">
        <f t="shared" ca="1" si="5"/>
        <v>15375.207483347855</v>
      </c>
    </row>
    <row r="218" spans="15:24">
      <c r="O218" s="43" t="str">
        <f>TEXT((月次返済表!A220-1)/12,"0.0")</f>
        <v>17.8</v>
      </c>
      <c r="P218" s="44">
        <f ca="1">月次返済表!S220</f>
        <v>69724.623766431949</v>
      </c>
      <c r="Q218" s="44">
        <f ca="1">月次返済表!T220</f>
        <v>70799.853277401809</v>
      </c>
      <c r="R218" s="44">
        <f ca="1">月次返済表!H220</f>
        <v>57239.333057232456</v>
      </c>
      <c r="S218" s="44">
        <f ca="1">月次返済表!I220</f>
        <v>77618.898454582522</v>
      </c>
      <c r="T218" s="44">
        <f ca="1">月次返済表!R220</f>
        <v>140524.47704383376</v>
      </c>
      <c r="U218" s="44">
        <f ca="1">月次返済表!G220</f>
        <v>134858.23151181499</v>
      </c>
      <c r="V218" s="44"/>
      <c r="W218" s="44">
        <f t="shared" ca="1" si="4"/>
        <v>9708.9619513290818</v>
      </c>
      <c r="X218" s="44">
        <f t="shared" ca="1" si="5"/>
        <v>15375.207483347855</v>
      </c>
    </row>
    <row r="219" spans="15:24">
      <c r="O219" s="43" t="str">
        <f>TEXT((月次返済表!A221-1)/12,"0.0")</f>
        <v>17.9</v>
      </c>
      <c r="P219" s="44">
        <f ca="1">月次返済表!S221</f>
        <v>69488.624255507282</v>
      </c>
      <c r="Q219" s="44">
        <f ca="1">月次返済表!T221</f>
        <v>71035.852788326476</v>
      </c>
      <c r="R219" s="44">
        <f ca="1">月次返済表!H221</f>
        <v>56980.603395717168</v>
      </c>
      <c r="S219" s="44">
        <f ca="1">月次返済表!I221</f>
        <v>77877.628116097825</v>
      </c>
      <c r="T219" s="44">
        <f ca="1">月次返済表!R221</f>
        <v>140524.47704383376</v>
      </c>
      <c r="U219" s="44">
        <f ca="1">月次返済表!G221</f>
        <v>134858.23151181499</v>
      </c>
      <c r="V219" s="44"/>
      <c r="W219" s="44">
        <f t="shared" ca="1" si="4"/>
        <v>9708.9619513290818</v>
      </c>
      <c r="X219" s="44">
        <f t="shared" ca="1" si="5"/>
        <v>15375.207483347855</v>
      </c>
    </row>
    <row r="220" spans="15:24">
      <c r="O220" s="43" t="str">
        <f>TEXT((月次返済表!A222-1)/12,"0.0")</f>
        <v>18.0</v>
      </c>
      <c r="P220" s="44">
        <f ca="1">月次返済表!S222</f>
        <v>69251.838079546185</v>
      </c>
      <c r="Q220" s="44">
        <f ca="1">月次返済表!T222</f>
        <v>71272.638964287573</v>
      </c>
      <c r="R220" s="44">
        <f ca="1">月次返済表!H222</f>
        <v>56721.011301996848</v>
      </c>
      <c r="S220" s="44">
        <f ca="1">月次返済表!I222</f>
        <v>78137.22020981813</v>
      </c>
      <c r="T220" s="44">
        <f ca="1">月次返済表!R222</f>
        <v>140524.47704383376</v>
      </c>
      <c r="U220" s="44">
        <f ca="1">月次返済表!G222</f>
        <v>134858.23151181499</v>
      </c>
      <c r="V220" s="44"/>
      <c r="W220" s="44">
        <f t="shared" ca="1" si="4"/>
        <v>9708.9619513290818</v>
      </c>
      <c r="X220" s="44">
        <f t="shared" ca="1" si="5"/>
        <v>15375.207483347855</v>
      </c>
    </row>
    <row r="221" spans="15:24">
      <c r="O221" s="43" t="str">
        <f>TEXT((月次返済表!A223-1)/12,"0.0")</f>
        <v>18.1</v>
      </c>
      <c r="P221" s="44">
        <f ca="1">月次返済表!S223</f>
        <v>69014.262616331907</v>
      </c>
      <c r="Q221" s="44">
        <f ca="1">月次返済表!T223</f>
        <v>71510.214427501851</v>
      </c>
      <c r="R221" s="44">
        <f ca="1">月次返済表!H223</f>
        <v>56460.553901297448</v>
      </c>
      <c r="S221" s="44">
        <f ca="1">月次返済表!I223</f>
        <v>78397.677610517538</v>
      </c>
      <c r="T221" s="44">
        <f ca="1">月次返済表!R223</f>
        <v>140524.47704383376</v>
      </c>
      <c r="U221" s="44">
        <f ca="1">月次返済表!G223</f>
        <v>134858.23151181499</v>
      </c>
      <c r="V221" s="44"/>
      <c r="W221" s="44">
        <f t="shared" ca="1" si="4"/>
        <v>9708.9619513290818</v>
      </c>
      <c r="X221" s="44">
        <f t="shared" ca="1" si="5"/>
        <v>15375.207483347855</v>
      </c>
    </row>
    <row r="222" spans="15:24">
      <c r="O222" s="43" t="str">
        <f>TEXT((月次返済表!A224-1)/12,"0.0")</f>
        <v>18.2</v>
      </c>
      <c r="P222" s="44">
        <f ca="1">月次返済表!S224</f>
        <v>68775.8952349069</v>
      </c>
      <c r="Q222" s="44">
        <f ca="1">月次返済表!T224</f>
        <v>71748.581808926858</v>
      </c>
      <c r="R222" s="44">
        <f ca="1">月次返済表!H224</f>
        <v>56199.228309262398</v>
      </c>
      <c r="S222" s="44">
        <f ca="1">月次返済表!I224</f>
        <v>78659.003202552587</v>
      </c>
      <c r="T222" s="44">
        <f ca="1">月次返済表!R224</f>
        <v>140524.47704383376</v>
      </c>
      <c r="U222" s="44">
        <f ca="1">月次返済表!G224</f>
        <v>134858.23151181499</v>
      </c>
      <c r="V222" s="44"/>
      <c r="W222" s="44">
        <f t="shared" ca="1" si="4"/>
        <v>9708.9619513290818</v>
      </c>
      <c r="X222" s="44">
        <f t="shared" ca="1" si="5"/>
        <v>15375.207483347855</v>
      </c>
    </row>
    <row r="223" spans="15:24">
      <c r="O223" s="43" t="str">
        <f>TEXT((月次返済表!A225-1)/12,"0.0")</f>
        <v>18.3</v>
      </c>
      <c r="P223" s="44">
        <f ca="1">月次返済表!S225</f>
        <v>68536.733295543803</v>
      </c>
      <c r="Q223" s="44">
        <f ca="1">月次返済表!T225</f>
        <v>71987.743748289955</v>
      </c>
      <c r="R223" s="44">
        <f ca="1">月次返済表!H225</f>
        <v>55937.031631920552</v>
      </c>
      <c r="S223" s="44">
        <f ca="1">月次返済表!I225</f>
        <v>78921.199879894441</v>
      </c>
      <c r="T223" s="44">
        <f ca="1">月次返済表!R225</f>
        <v>140524.47704383376</v>
      </c>
      <c r="U223" s="44">
        <f ca="1">月次返済表!G225</f>
        <v>134858.23151181499</v>
      </c>
      <c r="V223" s="44"/>
      <c r="W223" s="44">
        <f t="shared" ca="1" si="4"/>
        <v>9708.9619513290818</v>
      </c>
      <c r="X223" s="44">
        <f t="shared" ca="1" si="5"/>
        <v>15375.207483347855</v>
      </c>
    </row>
    <row r="224" spans="15:24">
      <c r="O224" s="43" t="str">
        <f>TEXT((月次返済表!A226-1)/12,"0.0")</f>
        <v>18.3</v>
      </c>
      <c r="P224" s="44">
        <f ca="1">月次返済表!S226</f>
        <v>68296.774149716177</v>
      </c>
      <c r="Q224" s="44">
        <f ca="1">月次返済表!T226</f>
        <v>72227.702894117581</v>
      </c>
      <c r="R224" s="44">
        <f ca="1">月次返済表!H226</f>
        <v>55673.960965654238</v>
      </c>
      <c r="S224" s="44">
        <f ca="1">月次返済表!I226</f>
        <v>79184.270546160755</v>
      </c>
      <c r="T224" s="44">
        <f ca="1">月次返済表!R226</f>
        <v>140524.47704383376</v>
      </c>
      <c r="U224" s="44">
        <f ca="1">月次返済表!G226</f>
        <v>134858.23151181499</v>
      </c>
      <c r="V224" s="44"/>
      <c r="W224" s="44">
        <f t="shared" ca="1" si="4"/>
        <v>9708.9619513290818</v>
      </c>
      <c r="X224" s="44">
        <f t="shared" ca="1" si="5"/>
        <v>15375.207483347855</v>
      </c>
    </row>
    <row r="225" spans="15:24">
      <c r="O225" s="43" t="str">
        <f>TEXT((月次返済表!A227-1)/12,"0.0")</f>
        <v>18.4</v>
      </c>
      <c r="P225" s="44">
        <f ca="1">月次返済表!S227</f>
        <v>68056.01514006911</v>
      </c>
      <c r="Q225" s="44">
        <f ca="1">月次返済表!T227</f>
        <v>72468.461903764648</v>
      </c>
      <c r="R225" s="44">
        <f ca="1">月次返済表!H227</f>
        <v>55410.013397167037</v>
      </c>
      <c r="S225" s="44">
        <f ca="1">月次返済表!I227</f>
        <v>79448.218114647956</v>
      </c>
      <c r="T225" s="44">
        <f ca="1">月次返済表!R227</f>
        <v>140524.47704383376</v>
      </c>
      <c r="U225" s="44">
        <f ca="1">月次返済表!G227</f>
        <v>134858.23151181499</v>
      </c>
      <c r="V225" s="44"/>
      <c r="W225" s="44">
        <f t="shared" ca="1" si="4"/>
        <v>9708.9619513290818</v>
      </c>
      <c r="X225" s="44">
        <f t="shared" ca="1" si="5"/>
        <v>15375.207483347855</v>
      </c>
    </row>
    <row r="226" spans="15:24">
      <c r="O226" s="43" t="str">
        <f>TEXT((月次返済表!A228-1)/12,"0.0")</f>
        <v>18.5</v>
      </c>
      <c r="P226" s="44">
        <f ca="1">月次返済表!S228</f>
        <v>67814.453600389897</v>
      </c>
      <c r="Q226" s="44">
        <f ca="1">月次返済表!T228</f>
        <v>72710.023443443861</v>
      </c>
      <c r="R226" s="44">
        <f ca="1">月次返済表!H228</f>
        <v>55145.186003451534</v>
      </c>
      <c r="S226" s="44">
        <f ca="1">月次返済表!I228</f>
        <v>79713.045508363459</v>
      </c>
      <c r="T226" s="44">
        <f ca="1">月次返済表!R228</f>
        <v>140524.47704383376</v>
      </c>
      <c r="U226" s="44">
        <f ca="1">月次返済表!G228</f>
        <v>134858.23151181499</v>
      </c>
      <c r="V226" s="44"/>
      <c r="W226" s="44">
        <f t="shared" ca="1" si="4"/>
        <v>9708.9619513290818</v>
      </c>
      <c r="X226" s="44">
        <f t="shared" ca="1" si="5"/>
        <v>15375.207483347855</v>
      </c>
    </row>
    <row r="227" spans="15:24">
      <c r="O227" s="43" t="str">
        <f>TEXT((月次返済表!A229-1)/12,"0.0")</f>
        <v>18.6</v>
      </c>
      <c r="P227" s="44">
        <f ca="1">月次返済表!S229</f>
        <v>67572.086855578411</v>
      </c>
      <c r="Q227" s="44">
        <f ca="1">月次返済表!T229</f>
        <v>72952.390188255347</v>
      </c>
      <c r="R227" s="44">
        <f ca="1">月次返済表!H229</f>
        <v>54879.475851756994</v>
      </c>
      <c r="S227" s="44">
        <f ca="1">月次返済表!I229</f>
        <v>79978.755660057999</v>
      </c>
      <c r="T227" s="44">
        <f ca="1">月次返済表!R229</f>
        <v>140524.47704383376</v>
      </c>
      <c r="U227" s="44">
        <f ca="1">月次返済表!G229</f>
        <v>134858.23151181499</v>
      </c>
      <c r="V227" s="44"/>
      <c r="W227" s="44">
        <f t="shared" ca="1" si="4"/>
        <v>9708.9619513290818</v>
      </c>
      <c r="X227" s="44">
        <f t="shared" ca="1" si="5"/>
        <v>15375.207483347855</v>
      </c>
    </row>
    <row r="228" spans="15:24">
      <c r="O228" s="43" t="str">
        <f>TEXT((月次返済表!A230-1)/12,"0.0")</f>
        <v>18.7</v>
      </c>
      <c r="P228" s="44">
        <f ca="1">月次返済表!S230</f>
        <v>67328.91222161756</v>
      </c>
      <c r="Q228" s="44">
        <f ca="1">月次返済表!T230</f>
        <v>73195.564822216198</v>
      </c>
      <c r="R228" s="44">
        <f ca="1">月次返済表!H230</f>
        <v>54612.879999556804</v>
      </c>
      <c r="S228" s="44">
        <f ca="1">月次返済表!I230</f>
        <v>80245.351512258174</v>
      </c>
      <c r="T228" s="44">
        <f ca="1">月次返済表!R230</f>
        <v>140524.47704383376</v>
      </c>
      <c r="U228" s="44">
        <f ca="1">月次返済表!G230</f>
        <v>134858.23151181499</v>
      </c>
      <c r="V228" s="44"/>
      <c r="W228" s="44">
        <f t="shared" ca="1" si="4"/>
        <v>9708.9619513290818</v>
      </c>
      <c r="X228" s="44">
        <f t="shared" ca="1" si="5"/>
        <v>15375.207483347855</v>
      </c>
    </row>
    <row r="229" spans="15:24">
      <c r="O229" s="43" t="str">
        <f>TEXT((月次返済表!A231-1)/12,"0.0")</f>
        <v>18.8</v>
      </c>
      <c r="P229" s="44">
        <f ca="1">月次返済表!S231</f>
        <v>67084.927005543504</v>
      </c>
      <c r="Q229" s="44">
        <f ca="1">月次返済表!T231</f>
        <v>73439.550038290254</v>
      </c>
      <c r="R229" s="44">
        <f ca="1">月次返済表!H231</f>
        <v>54345.395494515942</v>
      </c>
      <c r="S229" s="44">
        <f ca="1">月次返済表!I231</f>
        <v>80512.836017299036</v>
      </c>
      <c r="T229" s="44">
        <f ca="1">月次返済表!R231</f>
        <v>140524.47704383376</v>
      </c>
      <c r="U229" s="44">
        <f ca="1">月次返済表!G231</f>
        <v>134858.23151181499</v>
      </c>
      <c r="V229" s="44"/>
      <c r="W229" s="44">
        <f t="shared" ca="1" si="4"/>
        <v>9708.9619513290818</v>
      </c>
      <c r="X229" s="44">
        <f t="shared" ca="1" si="5"/>
        <v>15375.207483347855</v>
      </c>
    </row>
    <row r="230" spans="15:24">
      <c r="O230" s="43" t="str">
        <f>TEXT((月次返済表!A232-1)/12,"0.0")</f>
        <v>18.8</v>
      </c>
      <c r="P230" s="44">
        <f ca="1">月次返済表!S232</f>
        <v>66840.12850541588</v>
      </c>
      <c r="Q230" s="44">
        <f ca="1">月次返済表!T232</f>
        <v>73684.348538417878</v>
      </c>
      <c r="R230" s="44">
        <f ca="1">月次返済表!H232</f>
        <v>54077.019374458272</v>
      </c>
      <c r="S230" s="44">
        <f ca="1">月次返済表!I232</f>
        <v>80781.212137356721</v>
      </c>
      <c r="T230" s="44">
        <f ca="1">月次返済表!R232</f>
        <v>140524.47704383376</v>
      </c>
      <c r="U230" s="44">
        <f ca="1">月次返済表!G232</f>
        <v>134858.23151181499</v>
      </c>
      <c r="V230" s="44"/>
      <c r="W230" s="44">
        <f t="shared" ca="1" si="4"/>
        <v>9708.9619513290818</v>
      </c>
      <c r="X230" s="44">
        <f t="shared" ca="1" si="5"/>
        <v>15375.207483347855</v>
      </c>
    </row>
    <row r="231" spans="15:24">
      <c r="O231" s="43" t="str">
        <f>TEXT((月次返済表!A233-1)/12,"0.0")</f>
        <v>18.9</v>
      </c>
      <c r="P231" s="44">
        <f ca="1">月次返済表!S233</f>
        <v>66594.514010287821</v>
      </c>
      <c r="Q231" s="44">
        <f ca="1">月次返済表!T233</f>
        <v>73929.963033545937</v>
      </c>
      <c r="R231" s="44">
        <f ca="1">月次返済表!H233</f>
        <v>53807.748667333748</v>
      </c>
      <c r="S231" s="44">
        <f ca="1">月次返済表!I233</f>
        <v>81050.482844481245</v>
      </c>
      <c r="T231" s="44">
        <f ca="1">月次返済表!R233</f>
        <v>140524.47704383376</v>
      </c>
      <c r="U231" s="44">
        <f ca="1">月次返済表!G233</f>
        <v>134858.23151181499</v>
      </c>
      <c r="V231" s="44"/>
      <c r="W231" s="44">
        <f t="shared" ca="1" si="4"/>
        <v>9708.9619513290818</v>
      </c>
      <c r="X231" s="44">
        <f t="shared" ca="1" si="5"/>
        <v>15375.207483347855</v>
      </c>
    </row>
    <row r="232" spans="15:24">
      <c r="O232" s="43" t="str">
        <f>TEXT((月次返済表!A234-1)/12,"0.0")</f>
        <v>19.0</v>
      </c>
      <c r="P232" s="44">
        <f ca="1">月次返済表!S234</f>
        <v>66348.080800176002</v>
      </c>
      <c r="Q232" s="44">
        <f ca="1">月次返済表!T234</f>
        <v>74176.396243657757</v>
      </c>
      <c r="R232" s="44">
        <f ca="1">月次返済表!H234</f>
        <v>53537.580391185482</v>
      </c>
      <c r="S232" s="44">
        <f ca="1">月次返済表!I234</f>
        <v>81320.651120629511</v>
      </c>
      <c r="T232" s="44">
        <f ca="1">月次返済表!R234</f>
        <v>140524.47704383376</v>
      </c>
      <c r="U232" s="44">
        <f ca="1">月次返済表!G234</f>
        <v>134858.23151181499</v>
      </c>
      <c r="V232" s="44"/>
      <c r="W232" s="44">
        <f t="shared" ca="1" si="4"/>
        <v>9708.9619513290818</v>
      </c>
      <c r="X232" s="44">
        <f t="shared" ca="1" si="5"/>
        <v>15375.207483347855</v>
      </c>
    </row>
    <row r="233" spans="15:24">
      <c r="O233" s="43" t="str">
        <f>TEXT((月次返済表!A235-1)/12,"0.0")</f>
        <v>19.1</v>
      </c>
      <c r="P233" s="44">
        <f ca="1">月次返済表!S235</f>
        <v>66100.826146030478</v>
      </c>
      <c r="Q233" s="44">
        <f ca="1">月次返済表!T235</f>
        <v>74423.65089780328</v>
      </c>
      <c r="R233" s="44">
        <f ca="1">月次返済表!H235</f>
        <v>53266.511554116725</v>
      </c>
      <c r="S233" s="44">
        <f ca="1">月次返済表!I235</f>
        <v>81591.719957698253</v>
      </c>
      <c r="T233" s="44">
        <f ca="1">月次返済表!R235</f>
        <v>140524.47704383376</v>
      </c>
      <c r="U233" s="44">
        <f ca="1">月次返済表!G235</f>
        <v>134858.23151181499</v>
      </c>
      <c r="V233" s="44"/>
      <c r="W233" s="44">
        <f t="shared" ca="1" si="4"/>
        <v>9708.9619513290818</v>
      </c>
      <c r="X233" s="44">
        <f t="shared" ca="1" si="5"/>
        <v>15375.207483347855</v>
      </c>
    </row>
    <row r="234" spans="15:24">
      <c r="O234" s="43" t="str">
        <f>TEXT((月次返済表!A236-1)/12,"0.0")</f>
        <v>19.2</v>
      </c>
      <c r="P234" s="44">
        <f ca="1">月次返済表!S236</f>
        <v>65852.747309704471</v>
      </c>
      <c r="Q234" s="44">
        <f ca="1">月次返済表!T236</f>
        <v>74671.729734129287</v>
      </c>
      <c r="R234" s="44">
        <f ca="1">月次返済表!H236</f>
        <v>52994.53915425772</v>
      </c>
      <c r="S234" s="44">
        <f ca="1">月次返済表!I236</f>
        <v>81863.692357557273</v>
      </c>
      <c r="T234" s="44">
        <f ca="1">月次返済表!R236</f>
        <v>140524.47704383376</v>
      </c>
      <c r="U234" s="44">
        <f ca="1">月次返済表!G236</f>
        <v>134858.23151181499</v>
      </c>
      <c r="V234" s="44"/>
      <c r="W234" s="44">
        <f t="shared" ca="1" si="4"/>
        <v>9708.9619513290818</v>
      </c>
      <c r="X234" s="44">
        <f t="shared" ca="1" si="5"/>
        <v>15375.207483347855</v>
      </c>
    </row>
    <row r="235" spans="15:24">
      <c r="O235" s="43" t="str">
        <f>TEXT((月次返済表!A237-1)/12,"0.0")</f>
        <v>19.3</v>
      </c>
      <c r="P235" s="44">
        <f ca="1">月次返済表!S237</f>
        <v>65603.84154392402</v>
      </c>
      <c r="Q235" s="44">
        <f ca="1">月次返済表!T237</f>
        <v>74920.635499909738</v>
      </c>
      <c r="R235" s="44">
        <f ca="1">月次返済表!H237</f>
        <v>52721.660179732535</v>
      </c>
      <c r="S235" s="44">
        <f ca="1">月次返済表!I237</f>
        <v>82136.571332082443</v>
      </c>
      <c r="T235" s="44">
        <f ca="1">月次返済表!R237</f>
        <v>140524.47704383376</v>
      </c>
      <c r="U235" s="44">
        <f ca="1">月次返済表!G237</f>
        <v>134858.23151181499</v>
      </c>
      <c r="V235" s="44"/>
      <c r="W235" s="44">
        <f t="shared" ca="1" si="4"/>
        <v>9708.9619513290818</v>
      </c>
      <c r="X235" s="44">
        <f t="shared" ca="1" si="5"/>
        <v>15375.207483347855</v>
      </c>
    </row>
    <row r="236" spans="15:24">
      <c r="O236" s="43" t="str">
        <f>TEXT((月次返済表!A238-1)/12,"0.0")</f>
        <v>19.3</v>
      </c>
      <c r="P236" s="44">
        <f ca="1">月次返済表!S238</f>
        <v>65354.106092257658</v>
      </c>
      <c r="Q236" s="44">
        <f ca="1">月次返済表!T238</f>
        <v>75170.3709515761</v>
      </c>
      <c r="R236" s="44">
        <f ca="1">月次返済表!H238</f>
        <v>52447.871608625595</v>
      </c>
      <c r="S236" s="44">
        <f ca="1">月次返済表!I238</f>
        <v>82410.359903189383</v>
      </c>
      <c r="T236" s="44">
        <f ca="1">月次返済表!R238</f>
        <v>140524.47704383376</v>
      </c>
      <c r="U236" s="44">
        <f ca="1">月次返済表!G238</f>
        <v>134858.23151181499</v>
      </c>
      <c r="V236" s="44"/>
      <c r="W236" s="44">
        <f t="shared" ca="1" si="4"/>
        <v>9708.9619513290818</v>
      </c>
      <c r="X236" s="44">
        <f t="shared" ca="1" si="5"/>
        <v>15375.207483347855</v>
      </c>
    </row>
    <row r="237" spans="15:24">
      <c r="O237" s="43" t="str">
        <f>TEXT((月次返済表!A239-1)/12,"0.0")</f>
        <v>19.4</v>
      </c>
      <c r="P237" s="44">
        <f ca="1">月次返済表!S239</f>
        <v>65103.538189085746</v>
      </c>
      <c r="Q237" s="44">
        <f ca="1">月次返済表!T239</f>
        <v>75420.938854748005</v>
      </c>
      <c r="R237" s="44">
        <f ca="1">月次返済表!H239</f>
        <v>52173.170408948296</v>
      </c>
      <c r="S237" s="44">
        <f ca="1">月次返済表!I239</f>
        <v>82685.06110286669</v>
      </c>
      <c r="T237" s="44">
        <f ca="1">月次返済表!R239</f>
        <v>140524.47704383376</v>
      </c>
      <c r="U237" s="44">
        <f ca="1">月次返済表!G239</f>
        <v>134858.23151181499</v>
      </c>
      <c r="V237" s="44"/>
      <c r="W237" s="44">
        <f t="shared" ca="1" si="4"/>
        <v>9708.9619513290818</v>
      </c>
      <c r="X237" s="44">
        <f t="shared" ca="1" si="5"/>
        <v>15375.207483347855</v>
      </c>
    </row>
    <row r="238" spans="15:24">
      <c r="O238" s="43" t="str">
        <f>TEXT((月次返済表!A240-1)/12,"0.0")</f>
        <v>19.5</v>
      </c>
      <c r="P238" s="44">
        <f ca="1">月次返済表!S240</f>
        <v>64852.135059569926</v>
      </c>
      <c r="Q238" s="44">
        <f ca="1">月次返済表!T240</f>
        <v>75672.341984263825</v>
      </c>
      <c r="R238" s="44">
        <f ca="1">月次返済表!H240</f>
        <v>51897.553538605403</v>
      </c>
      <c r="S238" s="44">
        <f ca="1">月次返済表!I240</f>
        <v>82960.677973209589</v>
      </c>
      <c r="T238" s="44">
        <f ca="1">月次返済表!R240</f>
        <v>140524.47704383376</v>
      </c>
      <c r="U238" s="44">
        <f ca="1">月次返済表!G240</f>
        <v>134858.23151181499</v>
      </c>
      <c r="V238" s="44"/>
      <c r="W238" s="44">
        <f t="shared" ca="1" si="4"/>
        <v>9708.9619513290818</v>
      </c>
      <c r="X238" s="44">
        <f t="shared" ca="1" si="5"/>
        <v>15375.207483347855</v>
      </c>
    </row>
    <row r="239" spans="15:24">
      <c r="O239" s="43" t="str">
        <f>TEXT((月次返済表!A241-1)/12,"0.0")</f>
        <v>19.6</v>
      </c>
      <c r="P239" s="44">
        <f ca="1">月次返済表!S241</f>
        <v>64599.89391962238</v>
      </c>
      <c r="Q239" s="44">
        <f ca="1">月次返済表!T241</f>
        <v>75924.583124211378</v>
      </c>
      <c r="R239" s="44">
        <f ca="1">月次返済表!H241</f>
        <v>51621.017945361375</v>
      </c>
      <c r="S239" s="44">
        <f ca="1">月次返済表!I241</f>
        <v>83237.213566453604</v>
      </c>
      <c r="T239" s="44">
        <f ca="1">月次返済表!R241</f>
        <v>140524.47704383376</v>
      </c>
      <c r="U239" s="44">
        <f ca="1">月次返済表!G241</f>
        <v>134858.23151181499</v>
      </c>
      <c r="V239" s="44"/>
      <c r="W239" s="44">
        <f t="shared" ca="1" si="4"/>
        <v>9708.9619513290818</v>
      </c>
      <c r="X239" s="44">
        <f t="shared" ca="1" si="5"/>
        <v>15375.207483347855</v>
      </c>
    </row>
    <row r="240" spans="15:24">
      <c r="O240" s="43" t="str">
        <f>TEXT((月次返済表!A242-1)/12,"0.0")</f>
        <v>19.7</v>
      </c>
      <c r="P240" s="44">
        <f ca="1">月次返済表!S242</f>
        <v>64346.811975875004</v>
      </c>
      <c r="Q240" s="44">
        <f ca="1">月次返済表!T242</f>
        <v>76177.665067958762</v>
      </c>
      <c r="R240" s="44">
        <f ca="1">月次返済表!H242</f>
        <v>51343.560566806525</v>
      </c>
      <c r="S240" s="44">
        <f ca="1">月次返済表!I242</f>
        <v>83514.67094500846</v>
      </c>
      <c r="T240" s="44">
        <f ca="1">月次返済表!R242</f>
        <v>140524.47704383376</v>
      </c>
      <c r="U240" s="44">
        <f ca="1">月次返済表!G242</f>
        <v>134858.23151181499</v>
      </c>
      <c r="V240" s="44"/>
      <c r="W240" s="44">
        <f t="shared" ca="1" si="4"/>
        <v>9708.9619513290818</v>
      </c>
      <c r="X240" s="44">
        <f t="shared" ca="1" si="5"/>
        <v>15375.207483347855</v>
      </c>
    </row>
    <row r="241" spans="15:24">
      <c r="O241" s="43" t="str">
        <f>TEXT((月次返済表!A243-1)/12,"0.0")</f>
        <v>19.8</v>
      </c>
      <c r="P241" s="44">
        <f ca="1">月次返済表!S243</f>
        <v>64092.886425648467</v>
      </c>
      <c r="Q241" s="44">
        <f ca="1">月次返済表!T243</f>
        <v>76431.590618185292</v>
      </c>
      <c r="R241" s="44">
        <f ca="1">月次返済表!H243</f>
        <v>51065.178330323164</v>
      </c>
      <c r="S241" s="44">
        <f ca="1">月次返済表!I243</f>
        <v>83793.053181491821</v>
      </c>
      <c r="T241" s="44">
        <f ca="1">月次返済表!R243</f>
        <v>140524.47704383376</v>
      </c>
      <c r="U241" s="44">
        <f ca="1">月次返済表!G243</f>
        <v>134858.23151181499</v>
      </c>
      <c r="V241" s="44"/>
      <c r="W241" s="44">
        <f t="shared" ca="1" si="4"/>
        <v>9708.9619513290818</v>
      </c>
      <c r="X241" s="44">
        <f t="shared" ca="1" si="5"/>
        <v>15375.207483347855</v>
      </c>
    </row>
    <row r="242" spans="15:24">
      <c r="O242" s="43" t="str">
        <f>TEXT((月次返済表!A244-1)/12,"0.0")</f>
        <v>19.8</v>
      </c>
      <c r="P242" s="44">
        <f ca="1">月次返済表!S244</f>
        <v>63838.114456921183</v>
      </c>
      <c r="Q242" s="44">
        <f ca="1">月次返済表!T244</f>
        <v>76686.362586912583</v>
      </c>
      <c r="R242" s="44">
        <f ca="1">月次返済表!H244</f>
        <v>50785.868153051524</v>
      </c>
      <c r="S242" s="44">
        <f ca="1">月次返済表!I244</f>
        <v>84072.363358763454</v>
      </c>
      <c r="T242" s="44">
        <f ca="1">月次返済表!R244</f>
        <v>140524.47704383376</v>
      </c>
      <c r="U242" s="44">
        <f ca="1">月次返済表!G244</f>
        <v>134858.23151181499</v>
      </c>
      <c r="V242" s="44"/>
      <c r="W242" s="44">
        <f t="shared" ca="1" si="4"/>
        <v>9708.9619513290818</v>
      </c>
      <c r="X242" s="44">
        <f t="shared" ca="1" si="5"/>
        <v>15375.207483347855</v>
      </c>
    </row>
    <row r="243" spans="15:24">
      <c r="O243" s="43" t="str">
        <f>TEXT((月次返済表!A245-1)/12,"0.0")</f>
        <v>19.9</v>
      </c>
      <c r="P243" s="44">
        <f ca="1">月次返済表!S245</f>
        <v>63582.493248298146</v>
      </c>
      <c r="Q243" s="44">
        <f ca="1">月次返済表!T245</f>
        <v>76941.983795535605</v>
      </c>
      <c r="R243" s="44">
        <f ca="1">月次返済表!H245</f>
        <v>50505.626941855648</v>
      </c>
      <c r="S243" s="44">
        <f ca="1">月次返済表!I245</f>
        <v>84352.604569959338</v>
      </c>
      <c r="T243" s="44">
        <f ca="1">月次返済表!R245</f>
        <v>140524.47704383376</v>
      </c>
      <c r="U243" s="44">
        <f ca="1">月次返済表!G245</f>
        <v>134858.23151181499</v>
      </c>
      <c r="V243" s="44"/>
      <c r="W243" s="44">
        <f t="shared" ca="1" si="4"/>
        <v>9708.9619513290818</v>
      </c>
      <c r="X243" s="44">
        <f t="shared" ca="1" si="5"/>
        <v>15375.207483347855</v>
      </c>
    </row>
    <row r="244" spans="15:24">
      <c r="O244" s="43" t="str">
        <f>TEXT((月次返済表!A246-1)/12,"0.0")</f>
        <v>20.0</v>
      </c>
      <c r="P244" s="44">
        <f ca="1">月次返済表!S246</f>
        <v>79157.524961224626</v>
      </c>
      <c r="Q244" s="44">
        <f ca="1">月次返済表!T246</f>
        <v>71075.914033905734</v>
      </c>
      <c r="R244" s="44">
        <f ca="1">月次返済表!H246</f>
        <v>62780.564491611403</v>
      </c>
      <c r="S244" s="44">
        <f ca="1">月次返済表!I246</f>
        <v>79486.033543990256</v>
      </c>
      <c r="T244" s="44">
        <f ca="1">月次返済表!R246</f>
        <v>150233.43899513036</v>
      </c>
      <c r="U244" s="44">
        <f ca="1">月次返済表!G246</f>
        <v>142266.59803560167</v>
      </c>
      <c r="V244" s="44"/>
      <c r="W244" s="44">
        <f t="shared" ca="1" si="4"/>
        <v>3.2479874789714813E-8</v>
      </c>
      <c r="X244" s="44">
        <f t="shared" ca="1" si="5"/>
        <v>7966.8409595611738</v>
      </c>
    </row>
    <row r="245" spans="15:24">
      <c r="O245" s="43" t="str">
        <f>TEXT((月次返済表!A247-1)/12,"0.0")</f>
        <v>20.1</v>
      </c>
      <c r="P245" s="44">
        <f ca="1">月次返済表!S247</f>
        <v>78861.375319416678</v>
      </c>
      <c r="Q245" s="44">
        <f ca="1">月次返済表!T247</f>
        <v>71372.063675713682</v>
      </c>
      <c r="R245" s="44">
        <f ca="1">月次返済表!H247</f>
        <v>62449.372685178103</v>
      </c>
      <c r="S245" s="44">
        <f ca="1">月次返済表!I247</f>
        <v>79817.22535042357</v>
      </c>
      <c r="T245" s="44">
        <f ca="1">月次返済表!R247</f>
        <v>150233.43899513036</v>
      </c>
      <c r="U245" s="44">
        <f ca="1">月次返済表!G247</f>
        <v>142266.59803560167</v>
      </c>
      <c r="V245" s="44"/>
      <c r="W245" s="44">
        <f t="shared" ca="1" si="4"/>
        <v>3.2479874789714813E-8</v>
      </c>
      <c r="X245" s="44">
        <f t="shared" ca="1" si="5"/>
        <v>7966.8409595611738</v>
      </c>
    </row>
    <row r="246" spans="15:24">
      <c r="O246" s="43" t="str">
        <f>TEXT((月次返済表!A248-1)/12,"0.0")</f>
        <v>20.2</v>
      </c>
      <c r="P246" s="44">
        <f ca="1">月次返済表!S248</f>
        <v>78563.991720767881</v>
      </c>
      <c r="Q246" s="44">
        <f ca="1">月次返済表!T248</f>
        <v>71669.447274362479</v>
      </c>
      <c r="R246" s="44">
        <f ca="1">月次返済表!H248</f>
        <v>62116.800912884675</v>
      </c>
      <c r="S246" s="44">
        <f ca="1">月次返済表!I248</f>
        <v>80149.797122716991</v>
      </c>
      <c r="T246" s="44">
        <f ca="1">月次返済表!R248</f>
        <v>150233.43899513036</v>
      </c>
      <c r="U246" s="44">
        <f ca="1">月次返済表!G248</f>
        <v>142266.59803560167</v>
      </c>
      <c r="V246" s="44"/>
      <c r="W246" s="44">
        <f t="shared" ca="1" si="4"/>
        <v>3.2479874789714813E-8</v>
      </c>
      <c r="X246" s="44">
        <f t="shared" ca="1" si="5"/>
        <v>7966.8409595611738</v>
      </c>
    </row>
    <row r="247" spans="15:24">
      <c r="O247" s="43" t="str">
        <f>TEXT((月次返済表!A249-1)/12,"0.0")</f>
        <v>20.3</v>
      </c>
      <c r="P247" s="44">
        <f ca="1">月次返済表!S249</f>
        <v>78265.369023791383</v>
      </c>
      <c r="Q247" s="44">
        <f ca="1">月次返済表!T249</f>
        <v>71968.069971338977</v>
      </c>
      <c r="R247" s="44">
        <f ca="1">月次返済表!H249</f>
        <v>61782.843424873347</v>
      </c>
      <c r="S247" s="44">
        <f ca="1">月次返済表!I249</f>
        <v>80483.754610728327</v>
      </c>
      <c r="T247" s="44">
        <f ca="1">月次返済表!R249</f>
        <v>150233.43899513036</v>
      </c>
      <c r="U247" s="44">
        <f ca="1">月次返済表!G249</f>
        <v>142266.59803560167</v>
      </c>
      <c r="V247" s="44"/>
      <c r="W247" s="44">
        <f t="shared" ca="1" si="4"/>
        <v>3.2479874789714813E-8</v>
      </c>
      <c r="X247" s="44">
        <f t="shared" ca="1" si="5"/>
        <v>7966.8409595611738</v>
      </c>
    </row>
    <row r="248" spans="15:24">
      <c r="O248" s="43" t="str">
        <f>TEXT((月次返済表!A250-1)/12,"0.0")</f>
        <v>20.3</v>
      </c>
      <c r="P248" s="44">
        <f ca="1">月次返済表!S250</f>
        <v>77965.502065577472</v>
      </c>
      <c r="Q248" s="44">
        <f ca="1">月次返済表!T250</f>
        <v>72267.936929552889</v>
      </c>
      <c r="R248" s="44">
        <f ca="1">月次返済表!H250</f>
        <v>61447.494447328652</v>
      </c>
      <c r="S248" s="44">
        <f ca="1">月次返済表!I250</f>
        <v>80819.103588273021</v>
      </c>
      <c r="T248" s="44">
        <f ca="1">月次返済表!R250</f>
        <v>150233.43899513036</v>
      </c>
      <c r="U248" s="44">
        <f ca="1">月次返済表!G250</f>
        <v>142266.59803560167</v>
      </c>
      <c r="V248" s="44"/>
      <c r="W248" s="44">
        <f t="shared" ca="1" si="4"/>
        <v>3.2479874789714813E-8</v>
      </c>
      <c r="X248" s="44">
        <f t="shared" ca="1" si="5"/>
        <v>7966.8409595611738</v>
      </c>
    </row>
    <row r="249" spans="15:24">
      <c r="O249" s="43" t="str">
        <f>TEXT((月次返済表!A251-1)/12,"0.0")</f>
        <v>20.4</v>
      </c>
      <c r="P249" s="44">
        <f ca="1">月次返済表!S251</f>
        <v>77664.385661704335</v>
      </c>
      <c r="Q249" s="44">
        <f ca="1">月次返済表!T251</f>
        <v>72569.053333426025</v>
      </c>
      <c r="R249" s="44">
        <f ca="1">月次返済表!H251</f>
        <v>61110.748182377509</v>
      </c>
      <c r="S249" s="44">
        <f ca="1">月次返済表!I251</f>
        <v>81155.84985322415</v>
      </c>
      <c r="T249" s="44">
        <f ca="1">月次返済表!R251</f>
        <v>150233.43899513036</v>
      </c>
      <c r="U249" s="44">
        <f ca="1">月次返済表!G251</f>
        <v>142266.59803560167</v>
      </c>
      <c r="V249" s="44"/>
      <c r="W249" s="44">
        <f t="shared" ca="1" si="4"/>
        <v>3.2479874789714813E-8</v>
      </c>
      <c r="X249" s="44">
        <f t="shared" ca="1" si="5"/>
        <v>7966.8409595611738</v>
      </c>
    </row>
    <row r="250" spans="15:24">
      <c r="O250" s="43" t="str">
        <f>TEXT((月次返済表!A252-1)/12,"0.0")</f>
        <v>20.5</v>
      </c>
      <c r="P250" s="44">
        <f ca="1">月次返済表!S252</f>
        <v>77362.014606148383</v>
      </c>
      <c r="Q250" s="44">
        <f ca="1">月次返済表!T252</f>
        <v>72871.424388981977</v>
      </c>
      <c r="R250" s="44">
        <f ca="1">月次返済表!H252</f>
        <v>60772.598807989074</v>
      </c>
      <c r="S250" s="44">
        <f ca="1">月次返済表!I252</f>
        <v>81493.999227612599</v>
      </c>
      <c r="T250" s="44">
        <f ca="1">月次返済表!R252</f>
        <v>150233.43899513036</v>
      </c>
      <c r="U250" s="44">
        <f ca="1">月次返済表!G252</f>
        <v>142266.59803560167</v>
      </c>
      <c r="V250" s="44"/>
      <c r="W250" s="44">
        <f t="shared" ca="1" si="4"/>
        <v>3.2479874789714813E-8</v>
      </c>
      <c r="X250" s="44">
        <f t="shared" ca="1" si="5"/>
        <v>7966.8409595611738</v>
      </c>
    </row>
    <row r="251" spans="15:24">
      <c r="O251" s="43" t="str">
        <f>TEXT((月次返済表!A253-1)/12,"0.0")</f>
        <v>20.6</v>
      </c>
      <c r="P251" s="44">
        <f ca="1">月次返済表!S253</f>
        <v>77058.383671194286</v>
      </c>
      <c r="Q251" s="44">
        <f ca="1">月次返済表!T253</f>
        <v>73175.055323936074</v>
      </c>
      <c r="R251" s="44">
        <f ca="1">月次返済表!H253</f>
        <v>60433.040477874019</v>
      </c>
      <c r="S251" s="44">
        <f ca="1">月次返済表!I253</f>
        <v>81833.557557727647</v>
      </c>
      <c r="T251" s="44">
        <f ca="1">月次返済表!R253</f>
        <v>150233.43899513036</v>
      </c>
      <c r="U251" s="44">
        <f ca="1">月次返済表!G253</f>
        <v>142266.59803560167</v>
      </c>
      <c r="V251" s="44"/>
      <c r="W251" s="44">
        <f t="shared" ca="1" si="4"/>
        <v>3.2479874789714813E-8</v>
      </c>
      <c r="X251" s="44">
        <f t="shared" ca="1" si="5"/>
        <v>7966.8409595611738</v>
      </c>
    </row>
    <row r="252" spans="15:24">
      <c r="O252" s="43" t="str">
        <f>TEXT((月次返済表!A254-1)/12,"0.0")</f>
        <v>20.7</v>
      </c>
      <c r="P252" s="44">
        <f ca="1">月次返済表!S254</f>
        <v>76753.487607344563</v>
      </c>
      <c r="Q252" s="44">
        <f ca="1">月次返済表!T254</f>
        <v>73479.951387785797</v>
      </c>
      <c r="R252" s="44">
        <f ca="1">月次返済表!H254</f>
        <v>60092.067321383482</v>
      </c>
      <c r="S252" s="44">
        <f ca="1">月次返済表!I254</f>
        <v>82174.530714218185</v>
      </c>
      <c r="T252" s="44">
        <f ca="1">月次返済表!R254</f>
        <v>150233.43899513036</v>
      </c>
      <c r="U252" s="44">
        <f ca="1">月次返済表!G254</f>
        <v>142266.59803560167</v>
      </c>
      <c r="V252" s="44"/>
      <c r="W252" s="44">
        <f t="shared" ca="1" si="4"/>
        <v>3.2479874789714813E-8</v>
      </c>
      <c r="X252" s="44">
        <f t="shared" ca="1" si="5"/>
        <v>7966.8409595611738</v>
      </c>
    </row>
    <row r="253" spans="15:24">
      <c r="O253" s="43" t="str">
        <f>TEXT((月次返済表!A255-1)/12,"0.0")</f>
        <v>20.8</v>
      </c>
      <c r="P253" s="44">
        <f ca="1">月次返済表!S255</f>
        <v>76447.321143228779</v>
      </c>
      <c r="Q253" s="44">
        <f ca="1">月次返済表!T255</f>
        <v>73786.117851901581</v>
      </c>
      <c r="R253" s="44">
        <f ca="1">月次返済表!H255</f>
        <v>59749.673443407577</v>
      </c>
      <c r="S253" s="44">
        <f ca="1">月次返済表!I255</f>
        <v>82516.924592194089</v>
      </c>
      <c r="T253" s="44">
        <f ca="1">月次返済表!R255</f>
        <v>150233.43899513036</v>
      </c>
      <c r="U253" s="44">
        <f ca="1">月次返済表!G255</f>
        <v>142266.59803560167</v>
      </c>
      <c r="V253" s="44"/>
      <c r="W253" s="44">
        <f t="shared" ca="1" si="4"/>
        <v>3.2479874789714813E-8</v>
      </c>
      <c r="X253" s="44">
        <f t="shared" ca="1" si="5"/>
        <v>7966.8409595611738</v>
      </c>
    </row>
    <row r="254" spans="15:24">
      <c r="O254" s="43" t="str">
        <f>TEXT((月次返済表!A256-1)/12,"0.0")</f>
        <v>20.8</v>
      </c>
      <c r="P254" s="44">
        <f ca="1">月次返済表!S256</f>
        <v>76139.878985512521</v>
      </c>
      <c r="Q254" s="44">
        <f ca="1">月次返済表!T256</f>
        <v>74093.560009617839</v>
      </c>
      <c r="R254" s="44">
        <f ca="1">月次返済表!H256</f>
        <v>59405.852924273437</v>
      </c>
      <c r="S254" s="44">
        <f ca="1">月次返済表!I256</f>
        <v>82860.74511132823</v>
      </c>
      <c r="T254" s="44">
        <f ca="1">月次返済表!R256</f>
        <v>150233.43899513036</v>
      </c>
      <c r="U254" s="44">
        <f ca="1">月次返済表!G256</f>
        <v>142266.59803560167</v>
      </c>
      <c r="V254" s="44"/>
      <c r="W254" s="44">
        <f t="shared" ca="1" si="4"/>
        <v>3.2479874789714813E-8</v>
      </c>
      <c r="X254" s="44">
        <f t="shared" ca="1" si="5"/>
        <v>7966.8409595611738</v>
      </c>
    </row>
    <row r="255" spans="15:24">
      <c r="O255" s="43" t="str">
        <f>TEXT((月次返済表!A257-1)/12,"0.0")</f>
        <v>20.9</v>
      </c>
      <c r="P255" s="44">
        <f ca="1">月次返済表!S257</f>
        <v>75831.155818805782</v>
      </c>
      <c r="Q255" s="44">
        <f ca="1">月次返済表!T257</f>
        <v>74402.283176324578</v>
      </c>
      <c r="R255" s="44">
        <f ca="1">月次返済表!H257</f>
        <v>59060.599819642906</v>
      </c>
      <c r="S255" s="44">
        <f ca="1">月次返済表!I257</f>
        <v>83205.998215958767</v>
      </c>
      <c r="T255" s="44">
        <f ca="1">月次返済表!R257</f>
        <v>150233.43899513036</v>
      </c>
      <c r="U255" s="44">
        <f ca="1">月次返済表!G257</f>
        <v>142266.59803560167</v>
      </c>
      <c r="V255" s="44"/>
      <c r="W255" s="44">
        <f t="shared" ca="1" si="4"/>
        <v>3.2479874789714813E-8</v>
      </c>
      <c r="X255" s="44">
        <f t="shared" ca="1" si="5"/>
        <v>7966.8409595611738</v>
      </c>
    </row>
    <row r="256" spans="15:24">
      <c r="O256" s="43" t="str">
        <f>TEXT((月次返済表!A258-1)/12,"0.0")</f>
        <v>21.0</v>
      </c>
      <c r="P256" s="44">
        <f ca="1">月次返済表!S258</f>
        <v>75521.146305571092</v>
      </c>
      <c r="Q256" s="44">
        <f ca="1">月次返済表!T258</f>
        <v>74712.292689559268</v>
      </c>
      <c r="R256" s="44">
        <f ca="1">月次返済表!H258</f>
        <v>58713.908160409745</v>
      </c>
      <c r="S256" s="44">
        <f ca="1">月次返済表!I258</f>
        <v>83552.689875191922</v>
      </c>
      <c r="T256" s="44">
        <f ca="1">月次返済表!R258</f>
        <v>150233.43899513036</v>
      </c>
      <c r="U256" s="44">
        <f ca="1">月次返済表!G258</f>
        <v>142266.59803560167</v>
      </c>
      <c r="V256" s="44"/>
      <c r="W256" s="44">
        <f t="shared" ca="1" si="4"/>
        <v>3.2479874789714813E-8</v>
      </c>
      <c r="X256" s="44">
        <f t="shared" ca="1" si="5"/>
        <v>7966.8409595611738</v>
      </c>
    </row>
    <row r="257" spans="15:24">
      <c r="O257" s="43" t="str">
        <f>TEXT((月次返済表!A259-1)/12,"0.0")</f>
        <v>21.1</v>
      </c>
      <c r="P257" s="44">
        <f ca="1">月次返済表!S259</f>
        <v>75209.845086031273</v>
      </c>
      <c r="Q257" s="44">
        <f ca="1">月次返済表!T259</f>
        <v>75023.593909099087</v>
      </c>
      <c r="R257" s="44">
        <f ca="1">月次返済表!H259</f>
        <v>58365.771952596457</v>
      </c>
      <c r="S257" s="44">
        <f ca="1">月次返済表!I259</f>
        <v>83900.826083005202</v>
      </c>
      <c r="T257" s="44">
        <f ca="1">月次返済表!R259</f>
        <v>150233.43899513036</v>
      </c>
      <c r="U257" s="44">
        <f ca="1">月次返済表!G259</f>
        <v>142266.59803560167</v>
      </c>
      <c r="V257" s="44"/>
      <c r="W257" s="44">
        <f t="shared" ca="1" si="4"/>
        <v>3.2479874789714813E-8</v>
      </c>
      <c r="X257" s="44">
        <f t="shared" ca="1" si="5"/>
        <v>7966.8409595611738</v>
      </c>
    </row>
    <row r="258" spans="15:24">
      <c r="O258" s="43" t="str">
        <f>TEXT((月次返済表!A260-1)/12,"0.0")</f>
        <v>21.2</v>
      </c>
      <c r="P258" s="44">
        <f ca="1">月次返済表!S260</f>
        <v>74897.246778076689</v>
      </c>
      <c r="Q258" s="44">
        <f ca="1">月次返済表!T260</f>
        <v>75336.192217053671</v>
      </c>
      <c r="R258" s="44">
        <f ca="1">月次返済表!H260</f>
        <v>58016.185177250598</v>
      </c>
      <c r="S258" s="44">
        <f ca="1">月次返済表!I260</f>
        <v>84250.412858351076</v>
      </c>
      <c r="T258" s="44">
        <f ca="1">月次返済表!R260</f>
        <v>150233.43899513036</v>
      </c>
      <c r="U258" s="44">
        <f ca="1">月次返済表!G260</f>
        <v>142266.59803560167</v>
      </c>
      <c r="V258" s="44"/>
      <c r="W258" s="44">
        <f t="shared" ca="1" si="4"/>
        <v>3.2479874789714813E-8</v>
      </c>
      <c r="X258" s="44">
        <f t="shared" ca="1" si="5"/>
        <v>7966.8409595611738</v>
      </c>
    </row>
    <row r="259" spans="15:24">
      <c r="O259" s="43" t="str">
        <f>TEXT((月次返済表!A261-1)/12,"0.0")</f>
        <v>21.3</v>
      </c>
      <c r="P259" s="44">
        <f ca="1">月次返済表!S261</f>
        <v>74583.345977172299</v>
      </c>
      <c r="Q259" s="44">
        <f ca="1">月次返済表!T261</f>
        <v>75650.093017958061</v>
      </c>
      <c r="R259" s="44">
        <f ca="1">月次返済表!H261</f>
        <v>57665.141790340807</v>
      </c>
      <c r="S259" s="44">
        <f ca="1">月次返済表!I261</f>
        <v>84601.456245260866</v>
      </c>
      <c r="T259" s="44">
        <f ca="1">月次返済表!R261</f>
        <v>150233.43899513036</v>
      </c>
      <c r="U259" s="44">
        <f ca="1">月次返済表!G261</f>
        <v>142266.59803560167</v>
      </c>
      <c r="V259" s="44"/>
      <c r="W259" s="44">
        <f t="shared" ca="1" si="4"/>
        <v>3.2479874789714813E-8</v>
      </c>
      <c r="X259" s="44">
        <f t="shared" ca="1" si="5"/>
        <v>7966.8409595611738</v>
      </c>
    </row>
    <row r="260" spans="15:24">
      <c r="O260" s="43" t="str">
        <f>TEXT((月次返済表!A262-1)/12,"0.0")</f>
        <v>21.3</v>
      </c>
      <c r="P260" s="44">
        <f ca="1">月次返済表!S262</f>
        <v>74268.137256264148</v>
      </c>
      <c r="Q260" s="44">
        <f ca="1">月次返済表!T262</f>
        <v>75965.301738866212</v>
      </c>
      <c r="R260" s="44">
        <f ca="1">月次返済表!H262</f>
        <v>57312.635722652223</v>
      </c>
      <c r="S260" s="44">
        <f ca="1">月次返済表!I262</f>
        <v>84953.962312949443</v>
      </c>
      <c r="T260" s="44">
        <f ca="1">月次返済表!R262</f>
        <v>150233.43899513036</v>
      </c>
      <c r="U260" s="44">
        <f ca="1">月次返済表!G262</f>
        <v>142266.59803560167</v>
      </c>
      <c r="V260" s="44"/>
      <c r="W260" s="44">
        <f t="shared" ref="W260:W323" ca="1" si="6">$V$6-T260</f>
        <v>3.2479874789714813E-8</v>
      </c>
      <c r="X260" s="44">
        <f t="shared" ref="X260:X323" ca="1" si="7">$V$6-U260</f>
        <v>7966.8409595611738</v>
      </c>
    </row>
    <row r="261" spans="15:24">
      <c r="O261" s="43" t="str">
        <f>TEXT((月次返済表!A263-1)/12,"0.0")</f>
        <v>21.4</v>
      </c>
      <c r="P261" s="44">
        <f ca="1">月次返済表!S263</f>
        <v>73951.615165685536</v>
      </c>
      <c r="Q261" s="44">
        <f ca="1">月次返済表!T263</f>
        <v>76281.823829444824</v>
      </c>
      <c r="R261" s="44">
        <f ca="1">月次返済表!H263</f>
        <v>56958.660879681593</v>
      </c>
      <c r="S261" s="44">
        <f ca="1">月次返済表!I263</f>
        <v>85307.937155920081</v>
      </c>
      <c r="T261" s="44">
        <f ca="1">月次返済表!R263</f>
        <v>150233.43899513036</v>
      </c>
      <c r="U261" s="44">
        <f ca="1">月次返済表!G263</f>
        <v>142266.59803560167</v>
      </c>
      <c r="V261" s="44"/>
      <c r="W261" s="44">
        <f t="shared" ca="1" si="6"/>
        <v>3.2479874789714813E-8</v>
      </c>
      <c r="X261" s="44">
        <f t="shared" ca="1" si="7"/>
        <v>7966.8409595611738</v>
      </c>
    </row>
    <row r="262" spans="15:24">
      <c r="O262" s="43" t="str">
        <f>TEXT((月次返済表!A264-1)/12,"0.0")</f>
        <v>21.5</v>
      </c>
      <c r="P262" s="44">
        <f ca="1">月次返済表!S264</f>
        <v>73633.774233062853</v>
      </c>
      <c r="Q262" s="44">
        <f ca="1">月次返済表!T264</f>
        <v>76599.664762067507</v>
      </c>
      <c r="R262" s="44">
        <f ca="1">月次返済表!H264</f>
        <v>56603.211141531938</v>
      </c>
      <c r="S262" s="44">
        <f ca="1">月次返済表!I264</f>
        <v>85663.386894069728</v>
      </c>
      <c r="T262" s="44">
        <f ca="1">月次返済表!R264</f>
        <v>150233.43899513036</v>
      </c>
      <c r="U262" s="44">
        <f ca="1">月次返済表!G264</f>
        <v>142266.59803560167</v>
      </c>
      <c r="V262" s="44"/>
      <c r="W262" s="44">
        <f t="shared" ca="1" si="6"/>
        <v>3.2479874789714813E-8</v>
      </c>
      <c r="X262" s="44">
        <f t="shared" ca="1" si="7"/>
        <v>7966.8409595611738</v>
      </c>
    </row>
    <row r="263" spans="15:24">
      <c r="O263" s="43" t="str">
        <f>TEXT((月次返済表!A265-1)/12,"0.0")</f>
        <v>21.6</v>
      </c>
      <c r="P263" s="44">
        <f ca="1">月次返済表!S265</f>
        <v>73314.60896322089</v>
      </c>
      <c r="Q263" s="44">
        <f ca="1">月次返済表!T265</f>
        <v>76918.830031909471</v>
      </c>
      <c r="R263" s="44">
        <f ca="1">月次返済表!H265</f>
        <v>56246.280362806639</v>
      </c>
      <c r="S263" s="44">
        <f ca="1">月次返済表!I265</f>
        <v>86020.317672795034</v>
      </c>
      <c r="T263" s="44">
        <f ca="1">月次返済表!R265</f>
        <v>150233.43899513036</v>
      </c>
      <c r="U263" s="44">
        <f ca="1">月次返済表!G265</f>
        <v>142266.59803560167</v>
      </c>
      <c r="V263" s="44"/>
      <c r="W263" s="44">
        <f t="shared" ca="1" si="6"/>
        <v>3.2479874789714813E-8</v>
      </c>
      <c r="X263" s="44">
        <f t="shared" ca="1" si="7"/>
        <v>7966.8409595611738</v>
      </c>
    </row>
    <row r="264" spans="15:24">
      <c r="O264" s="43" t="str">
        <f>TEXT((月次返済表!A266-1)/12,"0.0")</f>
        <v>21.7</v>
      </c>
      <c r="P264" s="44">
        <f ca="1">月次返済表!S266</f>
        <v>72994.113838087942</v>
      </c>
      <c r="Q264" s="44">
        <f ca="1">月次返済表!T266</f>
        <v>77239.325157042418</v>
      </c>
      <c r="R264" s="44">
        <f ca="1">月次返済表!H266</f>
        <v>55887.862372503332</v>
      </c>
      <c r="S264" s="44">
        <f ca="1">月次返済表!I266</f>
        <v>86378.735663098341</v>
      </c>
      <c r="T264" s="44">
        <f ca="1">月次返済表!R266</f>
        <v>150233.43899513036</v>
      </c>
      <c r="U264" s="44">
        <f ca="1">月次返済表!G266</f>
        <v>142266.59803560167</v>
      </c>
      <c r="V264" s="44"/>
      <c r="W264" s="44">
        <f t="shared" ca="1" si="6"/>
        <v>3.2479874789714813E-8</v>
      </c>
      <c r="X264" s="44">
        <f t="shared" ca="1" si="7"/>
        <v>7966.8409595611738</v>
      </c>
    </row>
    <row r="265" spans="15:24">
      <c r="O265" s="43" t="str">
        <f>TEXT((月次返済表!A267-1)/12,"0.0")</f>
        <v>21.8</v>
      </c>
      <c r="P265" s="44">
        <f ca="1">月次返済表!S267</f>
        <v>72672.283316600267</v>
      </c>
      <c r="Q265" s="44">
        <f ca="1">月次返済表!T267</f>
        <v>77561.155678530093</v>
      </c>
      <c r="R265" s="44">
        <f ca="1">月次返済表!H267</f>
        <v>55527.950973907085</v>
      </c>
      <c r="S265" s="44">
        <f ca="1">月次返済表!I267</f>
        <v>86738.647061694588</v>
      </c>
      <c r="T265" s="44">
        <f ca="1">月次返済表!R267</f>
        <v>150233.43899513036</v>
      </c>
      <c r="U265" s="44">
        <f ca="1">月次返済表!G267</f>
        <v>142266.59803560167</v>
      </c>
      <c r="V265" s="44"/>
      <c r="W265" s="44">
        <f t="shared" ca="1" si="6"/>
        <v>3.2479874789714813E-8</v>
      </c>
      <c r="X265" s="44">
        <f t="shared" ca="1" si="7"/>
        <v>7966.8409595611738</v>
      </c>
    </row>
    <row r="266" spans="15:24">
      <c r="O266" s="43" t="str">
        <f>TEXT((月次返済表!A268-1)/12,"0.0")</f>
        <v>21.8</v>
      </c>
      <c r="P266" s="44">
        <f ca="1">月次返済表!S268</f>
        <v>72349.111834606389</v>
      </c>
      <c r="Q266" s="44">
        <f ca="1">月次返済表!T268</f>
        <v>77884.327160523972</v>
      </c>
      <c r="R266" s="44">
        <f ca="1">月次返済表!H268</f>
        <v>55166.539944483353</v>
      </c>
      <c r="S266" s="44">
        <f ca="1">月次返済表!I268</f>
        <v>87100.058091118321</v>
      </c>
      <c r="T266" s="44">
        <f ca="1">月次返済表!R268</f>
        <v>150233.43899513036</v>
      </c>
      <c r="U266" s="44">
        <f ca="1">月次返済表!G268</f>
        <v>142266.59803560167</v>
      </c>
      <c r="V266" s="44"/>
      <c r="W266" s="44">
        <f t="shared" ca="1" si="6"/>
        <v>3.2479874789714813E-8</v>
      </c>
      <c r="X266" s="44">
        <f t="shared" ca="1" si="7"/>
        <v>7966.8409595611738</v>
      </c>
    </row>
    <row r="267" spans="15:24">
      <c r="O267" s="43" t="str">
        <f>TEXT((月次返済表!A269-1)/12,"0.0")</f>
        <v>21.9</v>
      </c>
      <c r="P267" s="44">
        <f ca="1">月次返済表!S269</f>
        <v>72024.593804770891</v>
      </c>
      <c r="Q267" s="44">
        <f ca="1">月次返済表!T269</f>
        <v>78208.845190359469</v>
      </c>
      <c r="R267" s="44">
        <f ca="1">月次返済表!H269</f>
        <v>54803.623035770368</v>
      </c>
      <c r="S267" s="44">
        <f ca="1">月次返済表!I269</f>
        <v>87462.974999831291</v>
      </c>
      <c r="T267" s="44">
        <f ca="1">月次返済表!R269</f>
        <v>150233.43899513036</v>
      </c>
      <c r="U267" s="44">
        <f ca="1">月次返済表!G269</f>
        <v>142266.59803560167</v>
      </c>
      <c r="V267" s="44"/>
      <c r="W267" s="44">
        <f t="shared" ca="1" si="6"/>
        <v>3.2479874789714813E-8</v>
      </c>
      <c r="X267" s="44">
        <f t="shared" ca="1" si="7"/>
        <v>7966.8409595611738</v>
      </c>
    </row>
    <row r="268" spans="15:24">
      <c r="O268" s="43" t="str">
        <f>TEXT((月次返済表!A270-1)/12,"0.0")</f>
        <v>22.0</v>
      </c>
      <c r="P268" s="44">
        <f ca="1">月次返済表!S270</f>
        <v>71698.723616477713</v>
      </c>
      <c r="Q268" s="44">
        <f ca="1">月次返済表!T270</f>
        <v>78534.715378652647</v>
      </c>
      <c r="R268" s="44">
        <f ca="1">月次返済表!H270</f>
        <v>54439.19397327106</v>
      </c>
      <c r="S268" s="44">
        <f ca="1">月次返済表!I270</f>
        <v>87827.404062330606</v>
      </c>
      <c r="T268" s="44">
        <f ca="1">月次返済表!R270</f>
        <v>150233.43899513036</v>
      </c>
      <c r="U268" s="44">
        <f ca="1">月次返済表!G270</f>
        <v>142266.59803560167</v>
      </c>
      <c r="V268" s="44"/>
      <c r="W268" s="44">
        <f t="shared" ca="1" si="6"/>
        <v>3.2479874789714813E-8</v>
      </c>
      <c r="X268" s="44">
        <f t="shared" ca="1" si="7"/>
        <v>7966.8409595611738</v>
      </c>
    </row>
    <row r="269" spans="15:24">
      <c r="O269" s="43" t="str">
        <f>TEXT((月次返済表!A271-1)/12,"0.0")</f>
        <v>22.1</v>
      </c>
      <c r="P269" s="44">
        <f ca="1">月次返済表!S271</f>
        <v>71371.495635733314</v>
      </c>
      <c r="Q269" s="44">
        <f ca="1">月次返済表!T271</f>
        <v>78861.943359397046</v>
      </c>
      <c r="R269" s="44">
        <f ca="1">月次返済表!H271</f>
        <v>54073.246456344692</v>
      </c>
      <c r="S269" s="44">
        <f ca="1">月次返済表!I271</f>
        <v>88193.351579256967</v>
      </c>
      <c r="T269" s="44">
        <f ca="1">月次返済表!R271</f>
        <v>150233.43899513036</v>
      </c>
      <c r="U269" s="44">
        <f ca="1">月次返済表!G271</f>
        <v>142266.59803560167</v>
      </c>
      <c r="V269" s="44"/>
      <c r="W269" s="44">
        <f t="shared" ca="1" si="6"/>
        <v>3.2479874789714813E-8</v>
      </c>
      <c r="X269" s="44">
        <f t="shared" ca="1" si="7"/>
        <v>7966.8409595611738</v>
      </c>
    </row>
    <row r="270" spans="15:24">
      <c r="O270" s="43" t="str">
        <f>TEXT((月次返済表!A272-1)/12,"0.0")</f>
        <v>22.2</v>
      </c>
      <c r="P270" s="44">
        <f ca="1">月次返済表!S272</f>
        <v>71042.904205069164</v>
      </c>
      <c r="Q270" s="44">
        <f ca="1">月次返済表!T272</f>
        <v>79190.534790061196</v>
      </c>
      <c r="R270" s="44">
        <f ca="1">月次返済表!H272</f>
        <v>53705.774158097782</v>
      </c>
      <c r="S270" s="44">
        <f ca="1">月次返済表!I272</f>
        <v>88560.823877503892</v>
      </c>
      <c r="T270" s="44">
        <f ca="1">月次返済表!R272</f>
        <v>150233.43899513036</v>
      </c>
      <c r="U270" s="44">
        <f ca="1">月次返済表!G272</f>
        <v>142266.59803560167</v>
      </c>
      <c r="V270" s="44"/>
      <c r="W270" s="44">
        <f t="shared" ca="1" si="6"/>
        <v>3.2479874789714813E-8</v>
      </c>
      <c r="X270" s="44">
        <f t="shared" ca="1" si="7"/>
        <v>7966.8409595611738</v>
      </c>
    </row>
    <row r="271" spans="15:24">
      <c r="O271" s="43" t="str">
        <f>TEXT((月次返済表!A273-1)/12,"0.0")</f>
        <v>22.3</v>
      </c>
      <c r="P271" s="44">
        <f ca="1">月次返済表!S273</f>
        <v>70712.943643443912</v>
      </c>
      <c r="Q271" s="44">
        <f ca="1">月次返済表!T273</f>
        <v>79520.495351686448</v>
      </c>
      <c r="R271" s="44">
        <f ca="1">月次返済表!H273</f>
        <v>53336.770725274844</v>
      </c>
      <c r="S271" s="44">
        <f ca="1">月次返済表!I273</f>
        <v>88929.827310326829</v>
      </c>
      <c r="T271" s="44">
        <f ca="1">月次返済表!R273</f>
        <v>150233.43899513036</v>
      </c>
      <c r="U271" s="44">
        <f ca="1">月次返済表!G273</f>
        <v>142266.59803560167</v>
      </c>
      <c r="V271" s="44"/>
      <c r="W271" s="44">
        <f t="shared" ca="1" si="6"/>
        <v>3.2479874789714813E-8</v>
      </c>
      <c r="X271" s="44">
        <f t="shared" ca="1" si="7"/>
        <v>7966.8409595611738</v>
      </c>
    </row>
    <row r="272" spans="15:24">
      <c r="O272" s="43" t="str">
        <f>TEXT((月次返済表!A274-1)/12,"0.0")</f>
        <v>22.3</v>
      </c>
      <c r="P272" s="44">
        <f ca="1">月次返済表!S274</f>
        <v>70381.608246145217</v>
      </c>
      <c r="Q272" s="44">
        <f ca="1">月次返済表!T274</f>
        <v>79851.830748985143</v>
      </c>
      <c r="R272" s="44">
        <f ca="1">月次返済表!H274</f>
        <v>52966.229778148489</v>
      </c>
      <c r="S272" s="44">
        <f ca="1">月次返済表!I274</f>
        <v>89300.36825745317</v>
      </c>
      <c r="T272" s="44">
        <f ca="1">月次返済表!R274</f>
        <v>150233.43899513036</v>
      </c>
      <c r="U272" s="44">
        <f ca="1">月次返済表!G274</f>
        <v>142266.59803560167</v>
      </c>
      <c r="V272" s="44"/>
      <c r="W272" s="44">
        <f t="shared" ca="1" si="6"/>
        <v>3.2479874789714813E-8</v>
      </c>
      <c r="X272" s="44">
        <f t="shared" ca="1" si="7"/>
        <v>7966.8409595611738</v>
      </c>
    </row>
    <row r="273" spans="15:24">
      <c r="O273" s="43" t="str">
        <f>TEXT((月次返済表!A275-1)/12,"0.0")</f>
        <v>22.4</v>
      </c>
      <c r="P273" s="44">
        <f ca="1">月次返済表!S275</f>
        <v>70048.892284691101</v>
      </c>
      <c r="Q273" s="44">
        <f ca="1">月次返済表!T275</f>
        <v>80184.546710439259</v>
      </c>
      <c r="R273" s="44">
        <f ca="1">月次返済表!H275</f>
        <v>52594.144910409093</v>
      </c>
      <c r="S273" s="44">
        <f ca="1">月次返済表!I275</f>
        <v>89672.45312519258</v>
      </c>
      <c r="T273" s="44">
        <f ca="1">月次返済表!R275</f>
        <v>150233.43899513036</v>
      </c>
      <c r="U273" s="44">
        <f ca="1">月次返済表!G275</f>
        <v>142266.59803560167</v>
      </c>
      <c r="V273" s="44"/>
      <c r="W273" s="44">
        <f t="shared" ca="1" si="6"/>
        <v>3.2479874789714813E-8</v>
      </c>
      <c r="X273" s="44">
        <f t="shared" ca="1" si="7"/>
        <v>7966.8409595611738</v>
      </c>
    </row>
    <row r="274" spans="15:24">
      <c r="O274" s="43" t="str">
        <f>TEXT((月次返済表!A276-1)/12,"0.0")</f>
        <v>22.5</v>
      </c>
      <c r="P274" s="44">
        <f ca="1">月次返済表!S276</f>
        <v>69714.790006730938</v>
      </c>
      <c r="Q274" s="44">
        <f ca="1">月次返済表!T276</f>
        <v>80518.648988399422</v>
      </c>
      <c r="R274" s="44">
        <f ca="1">月次返済表!H276</f>
        <v>52220.509689054132</v>
      </c>
      <c r="S274" s="44">
        <f ca="1">月次返済表!I276</f>
        <v>90046.088346547534</v>
      </c>
      <c r="T274" s="44">
        <f ca="1">月次返済表!R276</f>
        <v>150233.43899513036</v>
      </c>
      <c r="U274" s="44">
        <f ca="1">月次返済表!G276</f>
        <v>142266.59803560167</v>
      </c>
      <c r="V274" s="44"/>
      <c r="W274" s="44">
        <f t="shared" ca="1" si="6"/>
        <v>3.2479874789714813E-8</v>
      </c>
      <c r="X274" s="44">
        <f t="shared" ca="1" si="7"/>
        <v>7966.8409595611738</v>
      </c>
    </row>
    <row r="275" spans="15:24">
      <c r="O275" s="43" t="str">
        <f>TEXT((月次返済表!A277-1)/12,"0.0")</f>
        <v>22.6</v>
      </c>
      <c r="P275" s="44">
        <f ca="1">月次返済表!S277</f>
        <v>69379.295635945935</v>
      </c>
      <c r="Q275" s="44">
        <f ca="1">月次返済表!T277</f>
        <v>80854.143359184425</v>
      </c>
      <c r="R275" s="44">
        <f ca="1">月次返済表!H277</f>
        <v>51845.317654276841</v>
      </c>
      <c r="S275" s="44">
        <f ca="1">月次返済表!I277</f>
        <v>90421.280381324817</v>
      </c>
      <c r="T275" s="44">
        <f ca="1">月次返済表!R277</f>
        <v>150233.43899513036</v>
      </c>
      <c r="U275" s="44">
        <f ca="1">月次返済表!G277</f>
        <v>142266.59803560167</v>
      </c>
      <c r="V275" s="44"/>
      <c r="W275" s="44">
        <f t="shared" ca="1" si="6"/>
        <v>3.2479874789714813E-8</v>
      </c>
      <c r="X275" s="44">
        <f t="shared" ca="1" si="7"/>
        <v>7966.8409595611738</v>
      </c>
    </row>
    <row r="276" spans="15:24">
      <c r="O276" s="43" t="str">
        <f>TEXT((月次返済表!A278-1)/12,"0.0")</f>
        <v>22.7</v>
      </c>
      <c r="P276" s="44">
        <f ca="1">月次返済表!S278</f>
        <v>69042.403371949345</v>
      </c>
      <c r="Q276" s="44">
        <f ca="1">月次返済表!T278</f>
        <v>81191.035623181015</v>
      </c>
      <c r="R276" s="44">
        <f ca="1">月次返済表!H278</f>
        <v>51468.562319354649</v>
      </c>
      <c r="S276" s="44">
        <f ca="1">月次返済表!I278</f>
        <v>90798.035716247017</v>
      </c>
      <c r="T276" s="44">
        <f ca="1">月次返済表!R278</f>
        <v>150233.43899513036</v>
      </c>
      <c r="U276" s="44">
        <f ca="1">月次返済表!G278</f>
        <v>142266.59803560167</v>
      </c>
      <c r="V276" s="44"/>
      <c r="W276" s="44">
        <f t="shared" ca="1" si="6"/>
        <v>3.2479874789714813E-8</v>
      </c>
      <c r="X276" s="44">
        <f t="shared" ca="1" si="7"/>
        <v>7966.8409595611738</v>
      </c>
    </row>
    <row r="277" spans="15:24">
      <c r="O277" s="43" t="str">
        <f>TEXT((月次返済表!A279-1)/12,"0.0")</f>
        <v>22.8</v>
      </c>
      <c r="P277" s="44">
        <f ca="1">月次返済表!S279</f>
        <v>68704.107390186095</v>
      </c>
      <c r="Q277" s="44">
        <f ca="1">月次返済表!T279</f>
        <v>81529.331604944266</v>
      </c>
      <c r="R277" s="44">
        <f ca="1">月次返済表!H279</f>
        <v>51090.237170536951</v>
      </c>
      <c r="S277" s="44">
        <f ca="1">月次返済表!I279</f>
        <v>91176.360865064722</v>
      </c>
      <c r="T277" s="44">
        <f ca="1">月次返済表!R279</f>
        <v>150233.43899513036</v>
      </c>
      <c r="U277" s="44">
        <f ca="1">月次返済表!G279</f>
        <v>142266.59803560167</v>
      </c>
      <c r="V277" s="44"/>
      <c r="W277" s="44">
        <f t="shared" ca="1" si="6"/>
        <v>3.2479874789714813E-8</v>
      </c>
      <c r="X277" s="44">
        <f t="shared" ca="1" si="7"/>
        <v>7966.8409595611738</v>
      </c>
    </row>
    <row r="278" spans="15:24">
      <c r="O278" s="43" t="str">
        <f>TEXT((月次返済表!A280-1)/12,"0.0")</f>
        <v>22.8</v>
      </c>
      <c r="P278" s="44">
        <f ca="1">月次返済表!S280</f>
        <v>68364.40184183215</v>
      </c>
      <c r="Q278" s="44">
        <f ca="1">月次返済表!T280</f>
        <v>81869.03715329821</v>
      </c>
      <c r="R278" s="44">
        <f ca="1">月次返済表!H280</f>
        <v>50710.335666932522</v>
      </c>
      <c r="S278" s="44">
        <f ca="1">月次返済表!I280</f>
        <v>91556.262368669151</v>
      </c>
      <c r="T278" s="44">
        <f ca="1">月次返済表!R280</f>
        <v>150233.43899513036</v>
      </c>
      <c r="U278" s="44">
        <f ca="1">月次返済表!G280</f>
        <v>142266.59803560167</v>
      </c>
      <c r="V278" s="44"/>
      <c r="W278" s="44">
        <f t="shared" ca="1" si="6"/>
        <v>3.2479874789714813E-8</v>
      </c>
      <c r="X278" s="44">
        <f t="shared" ca="1" si="7"/>
        <v>7966.8409595611738</v>
      </c>
    </row>
    <row r="279" spans="15:24">
      <c r="O279" s="43" t="str">
        <f>TEXT((月次返済表!A281-1)/12,"0.0")</f>
        <v>22.9</v>
      </c>
      <c r="P279" s="44">
        <f ca="1">月次返済表!S281</f>
        <v>68023.280853693417</v>
      </c>
      <c r="Q279" s="44">
        <f ca="1">月次返済表!T281</f>
        <v>82210.158141436943</v>
      </c>
      <c r="R279" s="44">
        <f ca="1">月次返済表!H281</f>
        <v>50328.851240396405</v>
      </c>
      <c r="S279" s="44">
        <f ca="1">月次返済表!I281</f>
        <v>91937.746795205254</v>
      </c>
      <c r="T279" s="44">
        <f ca="1">月次返済表!R281</f>
        <v>150233.43899513036</v>
      </c>
      <c r="U279" s="44">
        <f ca="1">月次返済表!G281</f>
        <v>142266.59803560167</v>
      </c>
      <c r="V279" s="44"/>
      <c r="W279" s="44">
        <f t="shared" ca="1" si="6"/>
        <v>3.2479874789714813E-8</v>
      </c>
      <c r="X279" s="44">
        <f t="shared" ca="1" si="7"/>
        <v>7966.8409595611738</v>
      </c>
    </row>
    <row r="280" spans="15:24">
      <c r="O280" s="43" t="str">
        <f>TEXT((月次返済表!A282-1)/12,"0.0")</f>
        <v>23.0</v>
      </c>
      <c r="P280" s="44">
        <f ca="1">月次返済表!S282</f>
        <v>67680.738528104092</v>
      </c>
      <c r="Q280" s="44">
        <f ca="1">月次返済表!T282</f>
        <v>82552.700467026269</v>
      </c>
      <c r="R280" s="44">
        <f ca="1">月次返済表!H282</f>
        <v>49945.777295416374</v>
      </c>
      <c r="S280" s="44">
        <f ca="1">月次返済表!I282</f>
        <v>92320.8207401853</v>
      </c>
      <c r="T280" s="44">
        <f ca="1">月次返済表!R282</f>
        <v>150233.43899513036</v>
      </c>
      <c r="U280" s="44">
        <f ca="1">月次返済表!G282</f>
        <v>142266.59803560167</v>
      </c>
      <c r="V280" s="44"/>
      <c r="W280" s="44">
        <f t="shared" ca="1" si="6"/>
        <v>3.2479874789714813E-8</v>
      </c>
      <c r="X280" s="44">
        <f t="shared" ca="1" si="7"/>
        <v>7966.8409595611738</v>
      </c>
    </row>
    <row r="281" spans="15:24">
      <c r="O281" s="43" t="str">
        <f>TEXT((月次返済表!A283-1)/12,"0.0")</f>
        <v>23.1</v>
      </c>
      <c r="P281" s="44">
        <f ca="1">月次返済表!S283</f>
        <v>67336.768942824812</v>
      </c>
      <c r="Q281" s="44">
        <f ca="1">月次返済表!T283</f>
        <v>82896.670052305548</v>
      </c>
      <c r="R281" s="44">
        <f ca="1">月次返済表!H283</f>
        <v>49561.107208998939</v>
      </c>
      <c r="S281" s="44">
        <f ca="1">月次返済表!I283</f>
        <v>92705.490826602734</v>
      </c>
      <c r="T281" s="44">
        <f ca="1">月次返済表!R283</f>
        <v>150233.43899513036</v>
      </c>
      <c r="U281" s="44">
        <f ca="1">月次返済表!G283</f>
        <v>142266.59803560167</v>
      </c>
      <c r="V281" s="44"/>
      <c r="W281" s="44">
        <f t="shared" ca="1" si="6"/>
        <v>3.2479874789714813E-8</v>
      </c>
      <c r="X281" s="44">
        <f t="shared" ca="1" si="7"/>
        <v>7966.8409595611738</v>
      </c>
    </row>
    <row r="282" spans="15:24">
      <c r="O282" s="43" t="str">
        <f>TEXT((月次返済表!A284-1)/12,"0.0")</f>
        <v>23.2</v>
      </c>
      <c r="P282" s="44">
        <f ca="1">月次返済表!S284</f>
        <v>66991.366150940215</v>
      </c>
      <c r="Q282" s="44">
        <f ca="1">月次返済表!T284</f>
        <v>83242.072844190145</v>
      </c>
      <c r="R282" s="44">
        <f ca="1">月次返済表!H284</f>
        <v>49174.834330554761</v>
      </c>
      <c r="S282" s="44">
        <f ca="1">月次返済表!I284</f>
        <v>93091.763705046906</v>
      </c>
      <c r="T282" s="44">
        <f ca="1">月次返済表!R284</f>
        <v>150233.43899513036</v>
      </c>
      <c r="U282" s="44">
        <f ca="1">月次返済表!G284</f>
        <v>142266.59803560167</v>
      </c>
      <c r="V282" s="44"/>
      <c r="W282" s="44">
        <f t="shared" ca="1" si="6"/>
        <v>3.2479874789714813E-8</v>
      </c>
      <c r="X282" s="44">
        <f t="shared" ca="1" si="7"/>
        <v>7966.8409595611738</v>
      </c>
    </row>
    <row r="283" spans="15:24">
      <c r="O283" s="43" t="str">
        <f>TEXT((月次返済表!A285-1)/12,"0.0")</f>
        <v>23.3</v>
      </c>
      <c r="P283" s="44">
        <f ca="1">月次返済表!S285</f>
        <v>66644.524180756081</v>
      </c>
      <c r="Q283" s="44">
        <f ca="1">月次返済表!T285</f>
        <v>83588.914814374279</v>
      </c>
      <c r="R283" s="44">
        <f ca="1">月次返済表!H285</f>
        <v>48786.951981783728</v>
      </c>
      <c r="S283" s="44">
        <f ca="1">月次返済表!I285</f>
        <v>93479.646053817938</v>
      </c>
      <c r="T283" s="44">
        <f ca="1">月次返済表!R285</f>
        <v>150233.43899513036</v>
      </c>
      <c r="U283" s="44">
        <f ca="1">月次返済表!G285</f>
        <v>142266.59803560167</v>
      </c>
      <c r="V283" s="44"/>
      <c r="W283" s="44">
        <f t="shared" ca="1" si="6"/>
        <v>3.2479874789714813E-8</v>
      </c>
      <c r="X283" s="44">
        <f t="shared" ca="1" si="7"/>
        <v>7966.8409595611738</v>
      </c>
    </row>
    <row r="284" spans="15:24">
      <c r="O284" s="43" t="str">
        <f>TEXT((月次返済表!A286-1)/12,"0.0")</f>
        <v>23.3</v>
      </c>
      <c r="P284" s="44">
        <f ca="1">月次返済表!S286</f>
        <v>66296.237035696206</v>
      </c>
      <c r="Q284" s="44">
        <f ca="1">月次返済表!T286</f>
        <v>83937.201959434155</v>
      </c>
      <c r="R284" s="44">
        <f ca="1">月次返済表!H286</f>
        <v>48397.453456559488</v>
      </c>
      <c r="S284" s="44">
        <f ca="1">月次返済表!I286</f>
        <v>93869.144579042186</v>
      </c>
      <c r="T284" s="44">
        <f ca="1">月次返済表!R286</f>
        <v>150233.43899513036</v>
      </c>
      <c r="U284" s="44">
        <f ca="1">月次返済表!G286</f>
        <v>142266.59803560167</v>
      </c>
      <c r="V284" s="44"/>
      <c r="W284" s="44">
        <f t="shared" ca="1" si="6"/>
        <v>3.2479874789714813E-8</v>
      </c>
      <c r="X284" s="44">
        <f t="shared" ca="1" si="7"/>
        <v>7966.8409595611738</v>
      </c>
    </row>
    <row r="285" spans="15:24">
      <c r="O285" s="43" t="str">
        <f>TEXT((月次返済表!A287-1)/12,"0.0")</f>
        <v>23.4</v>
      </c>
      <c r="P285" s="44">
        <f ca="1">月次返済表!S287</f>
        <v>65946.498694198555</v>
      </c>
      <c r="Q285" s="44">
        <f ca="1">月次返済表!T287</f>
        <v>84286.940300931805</v>
      </c>
      <c r="R285" s="44">
        <f ca="1">月次返済表!H287</f>
        <v>48006.332020813483</v>
      </c>
      <c r="S285" s="44">
        <f ca="1">月次返済表!I287</f>
        <v>94260.266014788183</v>
      </c>
      <c r="T285" s="44">
        <f ca="1">月次返済表!R287</f>
        <v>150233.43899513036</v>
      </c>
      <c r="U285" s="44">
        <f ca="1">月次返済表!G287</f>
        <v>142266.59803560167</v>
      </c>
      <c r="V285" s="44"/>
      <c r="W285" s="44">
        <f t="shared" ca="1" si="6"/>
        <v>3.2479874789714813E-8</v>
      </c>
      <c r="X285" s="44">
        <f t="shared" ca="1" si="7"/>
        <v>7966.8409595611738</v>
      </c>
    </row>
    <row r="286" spans="15:24">
      <c r="O286" s="43" t="str">
        <f>TEXT((月次返済表!A288-1)/12,"0.0")</f>
        <v>23.5</v>
      </c>
      <c r="P286" s="44">
        <f ca="1">月次返済表!S288</f>
        <v>65595.303109611341</v>
      </c>
      <c r="Q286" s="44">
        <f ca="1">月次返済表!T288</f>
        <v>84638.135885519019</v>
      </c>
      <c r="R286" s="44">
        <f ca="1">月次返済表!H288</f>
        <v>47613.58091241854</v>
      </c>
      <c r="S286" s="44">
        <f ca="1">月次返済表!I288</f>
        <v>94653.017123183119</v>
      </c>
      <c r="T286" s="44">
        <f ca="1">月次返済表!R288</f>
        <v>150233.43899513036</v>
      </c>
      <c r="U286" s="44">
        <f ca="1">月次返済表!G288</f>
        <v>142266.59803560167</v>
      </c>
      <c r="V286" s="44"/>
      <c r="W286" s="44">
        <f t="shared" ca="1" si="6"/>
        <v>3.2479874789714813E-8</v>
      </c>
      <c r="X286" s="44">
        <f t="shared" ca="1" si="7"/>
        <v>7966.8409595611738</v>
      </c>
    </row>
    <row r="287" spans="15:24">
      <c r="O287" s="43" t="str">
        <f>TEXT((月次返済表!A289-1)/12,"0.0")</f>
        <v>23.6</v>
      </c>
      <c r="P287" s="44">
        <f ca="1">月次返済表!S289</f>
        <v>65242.644210088336</v>
      </c>
      <c r="Q287" s="44">
        <f ca="1">月次返済表!T289</f>
        <v>84990.794785042031</v>
      </c>
      <c r="R287" s="44">
        <f ca="1">月次返済表!H289</f>
        <v>47219.193341071943</v>
      </c>
      <c r="S287" s="44">
        <f ca="1">月次返済表!I289</f>
        <v>95047.404694529716</v>
      </c>
      <c r="T287" s="44">
        <f ca="1">月次返済表!R289</f>
        <v>150233.43899513036</v>
      </c>
      <c r="U287" s="44">
        <f ca="1">月次返済表!G289</f>
        <v>142266.59803560167</v>
      </c>
      <c r="V287" s="44"/>
      <c r="W287" s="44">
        <f t="shared" ca="1" si="6"/>
        <v>3.2479874789714813E-8</v>
      </c>
      <c r="X287" s="44">
        <f t="shared" ca="1" si="7"/>
        <v>7966.8409595611738</v>
      </c>
    </row>
    <row r="288" spans="15:24">
      <c r="O288" s="43" t="str">
        <f>TEXT((月次返済表!A290-1)/12,"0.0")</f>
        <v>23.7</v>
      </c>
      <c r="P288" s="44">
        <f ca="1">月次返済表!S290</f>
        <v>64888.515898484002</v>
      </c>
      <c r="Q288" s="44">
        <f ca="1">月次返済表!T290</f>
        <v>85344.923096646351</v>
      </c>
      <c r="R288" s="44">
        <f ca="1">月次返済表!H290</f>
        <v>46823.162488178066</v>
      </c>
      <c r="S288" s="44">
        <f ca="1">月次返済表!I290</f>
        <v>95443.435547423607</v>
      </c>
      <c r="T288" s="44">
        <f ca="1">月次返済表!R290</f>
        <v>150233.43899513036</v>
      </c>
      <c r="U288" s="44">
        <f ca="1">月次返済表!G290</f>
        <v>142266.59803560167</v>
      </c>
      <c r="V288" s="44"/>
      <c r="W288" s="44">
        <f t="shared" ca="1" si="6"/>
        <v>3.2479874789714813E-8</v>
      </c>
      <c r="X288" s="44">
        <f t="shared" ca="1" si="7"/>
        <v>7966.8409595611738</v>
      </c>
    </row>
    <row r="289" spans="15:24">
      <c r="O289" s="43" t="str">
        <f>TEXT((月次返済表!A291-1)/12,"0.0")</f>
        <v>23.8</v>
      </c>
      <c r="P289" s="44">
        <f ca="1">月次返済表!S291</f>
        <v>64532.912052247972</v>
      </c>
      <c r="Q289" s="44">
        <f ca="1">月次返済表!T291</f>
        <v>85700.526942882396</v>
      </c>
      <c r="R289" s="44">
        <f ca="1">月次返済表!H291</f>
        <v>46425.481506730459</v>
      </c>
      <c r="S289" s="44">
        <f ca="1">月次返済表!I291</f>
        <v>95841.116528871207</v>
      </c>
      <c r="T289" s="44">
        <f ca="1">月次返済表!R291</f>
        <v>150233.43899513036</v>
      </c>
      <c r="U289" s="44">
        <f ca="1">月次返済表!G291</f>
        <v>142266.59803560167</v>
      </c>
      <c r="V289" s="44"/>
      <c r="W289" s="44">
        <f t="shared" ca="1" si="6"/>
        <v>3.2479874789714813E-8</v>
      </c>
      <c r="X289" s="44">
        <f t="shared" ca="1" si="7"/>
        <v>7966.8409595611738</v>
      </c>
    </row>
    <row r="290" spans="15:24">
      <c r="O290" s="43" t="str">
        <f>TEXT((月次返済表!A292-1)/12,"0.0")</f>
        <v>23.8</v>
      </c>
      <c r="P290" s="44">
        <f ca="1">月次返済表!S292</f>
        <v>64175.826523319294</v>
      </c>
      <c r="Q290" s="44">
        <f ca="1">月次返済表!T292</f>
        <v>86057.612471811066</v>
      </c>
      <c r="R290" s="44">
        <f ca="1">月次返済表!H292</f>
        <v>46026.143521193502</v>
      </c>
      <c r="S290" s="44">
        <f ca="1">月次返済表!I292</f>
        <v>96240.454514408164</v>
      </c>
      <c r="T290" s="44">
        <f ca="1">月次返済表!R292</f>
        <v>150233.43899513036</v>
      </c>
      <c r="U290" s="44">
        <f ca="1">月次返済表!G292</f>
        <v>142266.59803560167</v>
      </c>
      <c r="V290" s="44"/>
      <c r="W290" s="44">
        <f t="shared" ca="1" si="6"/>
        <v>3.2479874789714813E-8</v>
      </c>
      <c r="X290" s="44">
        <f t="shared" ca="1" si="7"/>
        <v>7966.8409595611738</v>
      </c>
    </row>
    <row r="291" spans="15:24">
      <c r="O291" s="43" t="str">
        <f>TEXT((月次返済表!A293-1)/12,"0.0")</f>
        <v>23.9</v>
      </c>
      <c r="P291" s="44">
        <f ca="1">月次返済表!S293</f>
        <v>63817.253138020082</v>
      </c>
      <c r="Q291" s="44">
        <f ca="1">月次返済表!T293</f>
        <v>86416.185857110278</v>
      </c>
      <c r="R291" s="44">
        <f ca="1">月次返済表!H293</f>
        <v>45625.141627383469</v>
      </c>
      <c r="S291" s="44">
        <f ca="1">月次返済表!I293</f>
        <v>96641.45640821819</v>
      </c>
      <c r="T291" s="44">
        <f ca="1">月次返済表!R293</f>
        <v>150233.43899513036</v>
      </c>
      <c r="U291" s="44">
        <f ca="1">月次返済表!G293</f>
        <v>142266.59803560167</v>
      </c>
      <c r="V291" s="44"/>
      <c r="W291" s="44">
        <f t="shared" ca="1" si="6"/>
        <v>3.2479874789714813E-8</v>
      </c>
      <c r="X291" s="44">
        <f t="shared" ca="1" si="7"/>
        <v>7966.8409595611738</v>
      </c>
    </row>
    <row r="292" spans="15:24">
      <c r="O292" s="43" t="str">
        <f>TEXT((月次返済表!A294-1)/12,"0.0")</f>
        <v>24.0</v>
      </c>
      <c r="P292" s="44">
        <f ca="1">月次返済表!S294</f>
        <v>63457.185696948785</v>
      </c>
      <c r="Q292" s="44">
        <f ca="1">月次返済表!T294</f>
        <v>86776.253298181575</v>
      </c>
      <c r="R292" s="44">
        <f ca="1">月次返済表!H294</f>
        <v>45222.468892349229</v>
      </c>
      <c r="S292" s="44">
        <f ca="1">月次返済表!I294</f>
        <v>97044.129143252445</v>
      </c>
      <c r="T292" s="44">
        <f ca="1">月次返済表!R294</f>
        <v>150233.43899513036</v>
      </c>
      <c r="U292" s="44">
        <f ca="1">月次返済表!G294</f>
        <v>142266.59803560167</v>
      </c>
      <c r="V292" s="44"/>
      <c r="W292" s="44">
        <f t="shared" ca="1" si="6"/>
        <v>3.2479874789714813E-8</v>
      </c>
      <c r="X292" s="44">
        <f t="shared" ca="1" si="7"/>
        <v>7966.8409595611738</v>
      </c>
    </row>
    <row r="293" spans="15:24">
      <c r="O293" s="43" t="str">
        <f>TEXT((月次返済表!A295-1)/12,"0.0")</f>
        <v>24.1</v>
      </c>
      <c r="P293" s="44">
        <f ca="1">月次返済表!S295</f>
        <v>63095.617974873028</v>
      </c>
      <c r="Q293" s="44">
        <f ca="1">月次返済表!T295</f>
        <v>87137.821020257339</v>
      </c>
      <c r="R293" s="44">
        <f ca="1">月次返済表!H295</f>
        <v>44818.118354252336</v>
      </c>
      <c r="S293" s="44">
        <f ca="1">月次返済表!I295</f>
        <v>97448.47968134933</v>
      </c>
      <c r="T293" s="44">
        <f ca="1">月次返済表!R295</f>
        <v>150233.43899513036</v>
      </c>
      <c r="U293" s="44">
        <f ca="1">月次返済表!G295</f>
        <v>142266.59803560167</v>
      </c>
      <c r="V293" s="44"/>
      <c r="W293" s="44">
        <f t="shared" ca="1" si="6"/>
        <v>3.2479874789714813E-8</v>
      </c>
      <c r="X293" s="44">
        <f t="shared" ca="1" si="7"/>
        <v>7966.8409595611738</v>
      </c>
    </row>
    <row r="294" spans="15:24">
      <c r="O294" s="43" t="str">
        <f>TEXT((月次返済表!A296-1)/12,"0.0")</f>
        <v>24.2</v>
      </c>
      <c r="P294" s="44">
        <f ca="1">月次返済表!S296</f>
        <v>62732.543720621965</v>
      </c>
      <c r="Q294" s="44">
        <f ca="1">月次返済表!T296</f>
        <v>87500.895274508395</v>
      </c>
      <c r="R294" s="44">
        <f ca="1">月次返済表!H296</f>
        <v>44412.083022246719</v>
      </c>
      <c r="S294" s="44">
        <f ca="1">月次返済表!I296</f>
        <v>97854.515013354947</v>
      </c>
      <c r="T294" s="44">
        <f ca="1">月次返済表!R296</f>
        <v>150233.43899513036</v>
      </c>
      <c r="U294" s="44">
        <f ca="1">月次返済表!G296</f>
        <v>142266.59803560167</v>
      </c>
      <c r="V294" s="44"/>
      <c r="W294" s="44">
        <f t="shared" ca="1" si="6"/>
        <v>3.2479874789714813E-8</v>
      </c>
      <c r="X294" s="44">
        <f t="shared" ca="1" si="7"/>
        <v>7966.8409595611738</v>
      </c>
    </row>
    <row r="295" spans="15:24">
      <c r="O295" s="43" t="str">
        <f>TEXT((月次返済表!A297-1)/12,"0.0")</f>
        <v>24.3</v>
      </c>
      <c r="P295" s="44">
        <f ca="1">月次返済表!S297</f>
        <v>62367.956656978175</v>
      </c>
      <c r="Q295" s="44">
        <f ca="1">月次返済表!T297</f>
        <v>87865.482338152186</v>
      </c>
      <c r="R295" s="44">
        <f ca="1">月次返済表!H297</f>
        <v>44004.355876357738</v>
      </c>
      <c r="S295" s="44">
        <f ca="1">月次返済表!I297</f>
        <v>98262.242159243935</v>
      </c>
      <c r="T295" s="44">
        <f ca="1">月次返済表!R297</f>
        <v>150233.43899513036</v>
      </c>
      <c r="U295" s="44">
        <f ca="1">月次返済表!G297</f>
        <v>142266.59803560167</v>
      </c>
      <c r="V295" s="44"/>
      <c r="W295" s="44">
        <f t="shared" ca="1" si="6"/>
        <v>3.2479874789714813E-8</v>
      </c>
      <c r="X295" s="44">
        <f t="shared" ca="1" si="7"/>
        <v>7966.8409595611738</v>
      </c>
    </row>
    <row r="296" spans="15:24">
      <c r="O296" s="43" t="str">
        <f>TEXT((月次返済表!A298-1)/12,"0.0")</f>
        <v>24.3</v>
      </c>
      <c r="P296" s="44">
        <f ca="1">月次返済表!S298</f>
        <v>62001.850480569206</v>
      </c>
      <c r="Q296" s="44">
        <f ca="1">月次返済表!T298</f>
        <v>88231.588514561154</v>
      </c>
      <c r="R296" s="44">
        <f ca="1">月次返済表!H298</f>
        <v>43594.929867360894</v>
      </c>
      <c r="S296" s="44">
        <f ca="1">月次返済表!I298</f>
        <v>98671.66816824078</v>
      </c>
      <c r="T296" s="44">
        <f ca="1">月次返済表!R298</f>
        <v>150233.43899513036</v>
      </c>
      <c r="U296" s="44">
        <f ca="1">月次返済表!G298</f>
        <v>142266.59803560167</v>
      </c>
      <c r="V296" s="44"/>
      <c r="W296" s="44">
        <f t="shared" ca="1" si="6"/>
        <v>3.2479874789714813E-8</v>
      </c>
      <c r="X296" s="44">
        <f t="shared" ca="1" si="7"/>
        <v>7966.8409595611738</v>
      </c>
    </row>
    <row r="297" spans="15:24">
      <c r="O297" s="43" t="str">
        <f>TEXT((月次返済表!A299-1)/12,"0.0")</f>
        <v>24.4</v>
      </c>
      <c r="P297" s="44">
        <f ca="1">月次返済表!S299</f>
        <v>61634.218861758534</v>
      </c>
      <c r="Q297" s="44">
        <f ca="1">月次返済表!T299</f>
        <v>88599.220133371826</v>
      </c>
      <c r="R297" s="44">
        <f ca="1">月次返済表!H299</f>
        <v>43183.797916659889</v>
      </c>
      <c r="S297" s="44">
        <f ca="1">月次返済表!I299</f>
        <v>99082.800118941785</v>
      </c>
      <c r="T297" s="44">
        <f ca="1">月次返済表!R299</f>
        <v>150233.43899513036</v>
      </c>
      <c r="U297" s="44">
        <f ca="1">月次返済表!G299</f>
        <v>142266.59803560167</v>
      </c>
      <c r="V297" s="44"/>
      <c r="W297" s="44">
        <f t="shared" ca="1" si="6"/>
        <v>3.2479874789714813E-8</v>
      </c>
      <c r="X297" s="44">
        <f t="shared" ca="1" si="7"/>
        <v>7966.8409595611738</v>
      </c>
    </row>
    <row r="298" spans="15:24">
      <c r="O298" s="43" t="str">
        <f>TEXT((月次返済表!A300-1)/12,"0.0")</f>
        <v>24.5</v>
      </c>
      <c r="P298" s="44">
        <f ca="1">月次返済表!S300</f>
        <v>61265.055444536149</v>
      </c>
      <c r="Q298" s="44">
        <f ca="1">月次返済表!T300</f>
        <v>88968.383550594212</v>
      </c>
      <c r="R298" s="44">
        <f ca="1">月次返済表!H300</f>
        <v>42770.952916164293</v>
      </c>
      <c r="S298" s="44">
        <f ca="1">月次返済表!I300</f>
        <v>99495.645119437366</v>
      </c>
      <c r="T298" s="44">
        <f ca="1">月次返済表!R300</f>
        <v>150233.43899513036</v>
      </c>
      <c r="U298" s="44">
        <f ca="1">月次返済表!G300</f>
        <v>142266.59803560167</v>
      </c>
      <c r="V298" s="44"/>
      <c r="W298" s="44">
        <f t="shared" ca="1" si="6"/>
        <v>3.2479874789714813E-8</v>
      </c>
      <c r="X298" s="44">
        <f t="shared" ca="1" si="7"/>
        <v>7966.8409595611738</v>
      </c>
    </row>
    <row r="299" spans="15:24">
      <c r="O299" s="43" t="str">
        <f>TEXT((月次返済表!A301-1)/12,"0.0")</f>
        <v>24.6</v>
      </c>
      <c r="P299" s="44">
        <f ca="1">月次返済表!S301</f>
        <v>60894.353846408681</v>
      </c>
      <c r="Q299" s="44">
        <f ca="1">月次返済表!T301</f>
        <v>89339.085148721671</v>
      </c>
      <c r="R299" s="44">
        <f ca="1">月次返済表!H301</f>
        <v>42356.387728166635</v>
      </c>
      <c r="S299" s="44">
        <f ca="1">月次返済表!I301</f>
        <v>99910.210307435031</v>
      </c>
      <c r="T299" s="44">
        <f ca="1">月次返済表!R301</f>
        <v>150233.43899513036</v>
      </c>
      <c r="U299" s="44">
        <f ca="1">月次返済表!G301</f>
        <v>142266.59803560167</v>
      </c>
      <c r="V299" s="44"/>
      <c r="W299" s="44">
        <f t="shared" ca="1" si="6"/>
        <v>3.2479874789714813E-8</v>
      </c>
      <c r="X299" s="44">
        <f t="shared" ca="1" si="7"/>
        <v>7966.8409595611738</v>
      </c>
    </row>
    <row r="300" spans="15:24">
      <c r="O300" s="43" t="str">
        <f>TEXT((月次返済表!A302-1)/12,"0.0")</f>
        <v>24.7</v>
      </c>
      <c r="P300" s="44">
        <f ca="1">月次返済表!S302</f>
        <v>60522.107658289002</v>
      </c>
      <c r="Q300" s="44">
        <f ca="1">月次返済表!T302</f>
        <v>89711.331336841366</v>
      </c>
      <c r="R300" s="44">
        <f ca="1">月次返済表!H302</f>
        <v>41940.095185218997</v>
      </c>
      <c r="S300" s="44">
        <f ca="1">月次返済表!I302</f>
        <v>100326.50285038268</v>
      </c>
      <c r="T300" s="44">
        <f ca="1">月次返済表!R302</f>
        <v>150233.43899513036</v>
      </c>
      <c r="U300" s="44">
        <f ca="1">月次返済表!G302</f>
        <v>142266.59803560167</v>
      </c>
      <c r="V300" s="44"/>
      <c r="W300" s="44">
        <f t="shared" ca="1" si="6"/>
        <v>3.2479874789714813E-8</v>
      </c>
      <c r="X300" s="44">
        <f t="shared" ca="1" si="7"/>
        <v>7966.8409595611738</v>
      </c>
    </row>
    <row r="301" spans="15:24">
      <c r="O301" s="43" t="str">
        <f>TEXT((月次返済表!A303-1)/12,"0.0")</f>
        <v>24.8</v>
      </c>
      <c r="P301" s="44">
        <f ca="1">月次返済表!S303</f>
        <v>60148.310444385505</v>
      </c>
      <c r="Q301" s="44">
        <f ca="1">月次返済表!T303</f>
        <v>90085.128550744848</v>
      </c>
      <c r="R301" s="44">
        <f ca="1">月次返済表!H303</f>
        <v>41522.068090009059</v>
      </c>
      <c r="S301" s="44">
        <f ca="1">月次返済表!I303</f>
        <v>100744.5299455926</v>
      </c>
      <c r="T301" s="44">
        <f ca="1">月次返済表!R303</f>
        <v>150233.43899513036</v>
      </c>
      <c r="U301" s="44">
        <f ca="1">月次返済表!G303</f>
        <v>142266.59803560167</v>
      </c>
      <c r="V301" s="44"/>
      <c r="W301" s="44">
        <f t="shared" ca="1" si="6"/>
        <v>3.2479874789714813E-8</v>
      </c>
      <c r="X301" s="44">
        <f t="shared" ca="1" si="7"/>
        <v>7966.8409595611738</v>
      </c>
    </row>
    <row r="302" spans="15:24">
      <c r="O302" s="43" t="str">
        <f>TEXT((月次返済表!A304-1)/12,"0.0")</f>
        <v>24.8</v>
      </c>
      <c r="P302" s="44">
        <f ca="1">月次返済表!S304</f>
        <v>59772.955742090729</v>
      </c>
      <c r="Q302" s="44">
        <f ca="1">月次返済表!T304</f>
        <v>90460.483253039623</v>
      </c>
      <c r="R302" s="44">
        <f ca="1">月次返済表!H304</f>
        <v>41102.299215235755</v>
      </c>
      <c r="S302" s="44">
        <f ca="1">月次返済表!I304</f>
        <v>101164.29882036592</v>
      </c>
      <c r="T302" s="44">
        <f ca="1">月次返済表!R304</f>
        <v>150233.43899513036</v>
      </c>
      <c r="U302" s="44">
        <f ca="1">月次返済表!G304</f>
        <v>142266.59803560167</v>
      </c>
      <c r="V302" s="44"/>
      <c r="W302" s="44">
        <f t="shared" ca="1" si="6"/>
        <v>3.2479874789714813E-8</v>
      </c>
      <c r="X302" s="44">
        <f t="shared" ca="1" si="7"/>
        <v>7966.8409595611738</v>
      </c>
    </row>
    <row r="303" spans="15:24">
      <c r="O303" s="43" t="str">
        <f>TEXT((月次返済表!A305-1)/12,"0.0")</f>
        <v>24.9</v>
      </c>
      <c r="P303" s="44">
        <f ca="1">月次返済表!S305</f>
        <v>59396.037061869727</v>
      </c>
      <c r="Q303" s="44">
        <f ca="1">月次返済表!T305</f>
        <v>90837.40193326064</v>
      </c>
      <c r="R303" s="44">
        <f ca="1">月次返済表!H305</f>
        <v>40680.781303484233</v>
      </c>
      <c r="S303" s="44">
        <f ca="1">月次返済表!I305</f>
        <v>101585.81673211744</v>
      </c>
      <c r="T303" s="44">
        <f ca="1">月次返済表!R305</f>
        <v>150233.43899513036</v>
      </c>
      <c r="U303" s="44">
        <f ca="1">月次返済表!G305</f>
        <v>142266.59803560167</v>
      </c>
      <c r="V303" s="44"/>
      <c r="W303" s="44">
        <f t="shared" ca="1" si="6"/>
        <v>3.2479874789714813E-8</v>
      </c>
      <c r="X303" s="44">
        <f t="shared" ca="1" si="7"/>
        <v>7966.8409595611738</v>
      </c>
    </row>
    <row r="304" spans="15:24">
      <c r="O304" s="43" t="str">
        <f>TEXT((月次返済表!A306-1)/12,"0.0")</f>
        <v>25.0</v>
      </c>
      <c r="P304" s="44">
        <f ca="1">月次返済表!S306</f>
        <v>59017.547887147812</v>
      </c>
      <c r="Q304" s="44">
        <f ca="1">月次返済表!T306</f>
        <v>91215.891107982839</v>
      </c>
      <c r="R304" s="44">
        <f ca="1">月次返済表!H306</f>
        <v>40257.507067100414</v>
      </c>
      <c r="S304" s="44">
        <f ca="1">月次返済表!I306</f>
        <v>102009.09096850158</v>
      </c>
      <c r="T304" s="44">
        <f ca="1">月次返済表!R306</f>
        <v>150233.43899513065</v>
      </c>
      <c r="U304" s="44">
        <f ca="1">月次返済表!G306</f>
        <v>142266.59803560199</v>
      </c>
      <c r="V304" s="44"/>
      <c r="W304" s="44">
        <f t="shared" ca="1" si="6"/>
        <v>3.2188836485147476E-8</v>
      </c>
      <c r="X304" s="44">
        <f t="shared" ca="1" si="7"/>
        <v>7966.8409595608537</v>
      </c>
    </row>
    <row r="305" spans="15:24">
      <c r="O305" s="43" t="str">
        <f>TEXT((月次返済表!A307-1)/12,"0.0")</f>
        <v>25.1</v>
      </c>
      <c r="P305" s="44">
        <f ca="1">月次返済表!S307</f>
        <v>58637.481674197887</v>
      </c>
      <c r="Q305" s="44">
        <f ca="1">月次返済表!T307</f>
        <v>91595.957320932765</v>
      </c>
      <c r="R305" s="44">
        <f ca="1">月次返済表!H307</f>
        <v>39832.469188064992</v>
      </c>
      <c r="S305" s="44">
        <f ca="1">月次返済表!I307</f>
        <v>102434.12884753699</v>
      </c>
      <c r="T305" s="44">
        <f ca="1">月次返済表!R307</f>
        <v>150233.43899513065</v>
      </c>
      <c r="U305" s="44">
        <f ca="1">月次返済表!G307</f>
        <v>142266.59803560199</v>
      </c>
      <c r="V305" s="44"/>
      <c r="W305" s="44">
        <f t="shared" ca="1" si="6"/>
        <v>3.2188836485147476E-8</v>
      </c>
      <c r="X305" s="44">
        <f t="shared" ca="1" si="7"/>
        <v>7966.8409595608537</v>
      </c>
    </row>
    <row r="306" spans="15:24">
      <c r="O306" s="43" t="str">
        <f>TEXT((月次返済表!A308-1)/12,"0.0")</f>
        <v>25.2</v>
      </c>
      <c r="P306" s="44">
        <f ca="1">月次返済表!S308</f>
        <v>58255.831852027331</v>
      </c>
      <c r="Q306" s="44">
        <f ca="1">月次返済表!T308</f>
        <v>91977.60714310332</v>
      </c>
      <c r="R306" s="44">
        <f ca="1">月次返済表!H308</f>
        <v>39405.660317866917</v>
      </c>
      <c r="S306" s="44">
        <f ca="1">月次返済表!I308</f>
        <v>102860.93771773507</v>
      </c>
      <c r="T306" s="44">
        <f ca="1">月次返済表!R308</f>
        <v>150233.43899513065</v>
      </c>
      <c r="U306" s="44">
        <f ca="1">月次返済表!G308</f>
        <v>142266.59803560199</v>
      </c>
      <c r="V306" s="44"/>
      <c r="W306" s="44">
        <f t="shared" ca="1" si="6"/>
        <v>3.2188836485147476E-8</v>
      </c>
      <c r="X306" s="44">
        <f t="shared" ca="1" si="7"/>
        <v>7966.8409595608537</v>
      </c>
    </row>
    <row r="307" spans="15:24">
      <c r="O307" s="43" t="str">
        <f>TEXT((月次返済表!A309-1)/12,"0.0")</f>
        <v>25.3</v>
      </c>
      <c r="P307" s="44">
        <f ca="1">月次返済表!S309</f>
        <v>57872.591822264403</v>
      </c>
      <c r="Q307" s="44">
        <f ca="1">月次返済表!T309</f>
        <v>92360.847172866255</v>
      </c>
      <c r="R307" s="44">
        <f ca="1">月次返済表!H309</f>
        <v>38977.07307737635</v>
      </c>
      <c r="S307" s="44">
        <f ca="1">月次返済表!I309</f>
        <v>103289.52495822564</v>
      </c>
      <c r="T307" s="44">
        <f ca="1">月次返済表!R309</f>
        <v>150233.43899513065</v>
      </c>
      <c r="U307" s="44">
        <f ca="1">月次返済表!G309</f>
        <v>142266.59803560199</v>
      </c>
      <c r="V307" s="44"/>
      <c r="W307" s="44">
        <f t="shared" ca="1" si="6"/>
        <v>3.2188836485147476E-8</v>
      </c>
      <c r="X307" s="44">
        <f t="shared" ca="1" si="7"/>
        <v>7966.8409595608537</v>
      </c>
    </row>
    <row r="308" spans="15:24">
      <c r="O308" s="43" t="str">
        <f>TEXT((月次返済表!A310-1)/12,"0.0")</f>
        <v>25.3</v>
      </c>
      <c r="P308" s="44">
        <f ca="1">月次返済表!S310</f>
        <v>57487.754959044127</v>
      </c>
      <c r="Q308" s="44">
        <f ca="1">月次返済表!T310</f>
        <v>92745.684036086517</v>
      </c>
      <c r="R308" s="44">
        <f ca="1">月次返済表!H310</f>
        <v>38546.700056717083</v>
      </c>
      <c r="S308" s="44">
        <f ca="1">月次返済表!I310</f>
        <v>103719.8979788849</v>
      </c>
      <c r="T308" s="44">
        <f ca="1">月次返済表!R310</f>
        <v>150233.43899513065</v>
      </c>
      <c r="U308" s="44">
        <f ca="1">月次返済表!G310</f>
        <v>142266.59803560199</v>
      </c>
      <c r="V308" s="44"/>
      <c r="W308" s="44">
        <f t="shared" ca="1" si="6"/>
        <v>3.2188836485147476E-8</v>
      </c>
      <c r="X308" s="44">
        <f t="shared" ca="1" si="7"/>
        <v>7966.8409595608537</v>
      </c>
    </row>
    <row r="309" spans="15:24">
      <c r="O309" s="43" t="str">
        <f>TEXT((月次返済表!A311-1)/12,"0.0")</f>
        <v>25.4</v>
      </c>
      <c r="P309" s="44">
        <f ca="1">月次返済表!S311</f>
        <v>57101.314608893765</v>
      </c>
      <c r="Q309" s="44">
        <f ca="1">月次返済表!T311</f>
        <v>93132.124386236886</v>
      </c>
      <c r="R309" s="44">
        <f ca="1">月次返済表!H311</f>
        <v>38114.533815138391</v>
      </c>
      <c r="S309" s="44">
        <f ca="1">月次返済表!I311</f>
        <v>104152.0642204636</v>
      </c>
      <c r="T309" s="44">
        <f ca="1">月次返済表!R311</f>
        <v>150233.43899513065</v>
      </c>
      <c r="U309" s="44">
        <f ca="1">月次返済表!G311</f>
        <v>142266.59803560199</v>
      </c>
      <c r="V309" s="44"/>
      <c r="W309" s="44">
        <f t="shared" ca="1" si="6"/>
        <v>3.2188836485147476E-8</v>
      </c>
      <c r="X309" s="44">
        <f t="shared" ca="1" si="7"/>
        <v>7966.8409595608537</v>
      </c>
    </row>
    <row r="310" spans="15:24">
      <c r="O310" s="43" t="str">
        <f>TEXT((月次返済表!A312-1)/12,"0.0")</f>
        <v>25.5</v>
      </c>
      <c r="P310" s="44">
        <f ca="1">月次返済表!S312</f>
        <v>56713.264090617777</v>
      </c>
      <c r="Q310" s="44">
        <f ca="1">月次返済表!T312</f>
        <v>93520.174904512882</v>
      </c>
      <c r="R310" s="44">
        <f ca="1">月次返済表!H312</f>
        <v>37680.566880886465</v>
      </c>
      <c r="S310" s="44">
        <f ca="1">月次返済表!I312</f>
        <v>104586.03115471551</v>
      </c>
      <c r="T310" s="44">
        <f ca="1">月次返済表!R312</f>
        <v>150233.43899513065</v>
      </c>
      <c r="U310" s="44">
        <f ca="1">月次返済表!G312</f>
        <v>142266.59803560199</v>
      </c>
      <c r="V310" s="44"/>
      <c r="W310" s="44">
        <f t="shared" ca="1" si="6"/>
        <v>3.2188836485147476E-8</v>
      </c>
      <c r="X310" s="44">
        <f t="shared" ca="1" si="7"/>
        <v>7966.8409595608537</v>
      </c>
    </row>
    <row r="311" spans="15:24">
      <c r="O311" s="43" t="str">
        <f>TEXT((月次返済表!A313-1)/12,"0.0")</f>
        <v>25.6</v>
      </c>
      <c r="P311" s="44">
        <f ca="1">月次返済表!S313</f>
        <v>56323.596695182314</v>
      </c>
      <c r="Q311" s="44">
        <f ca="1">月次返済表!T313</f>
        <v>93909.84229994833</v>
      </c>
      <c r="R311" s="44">
        <f ca="1">月次返済表!H313</f>
        <v>37244.791751075143</v>
      </c>
      <c r="S311" s="44">
        <f ca="1">月次返済表!I313</f>
        <v>105021.80628452684</v>
      </c>
      <c r="T311" s="44">
        <f ca="1">月次返済表!R313</f>
        <v>150233.43899513065</v>
      </c>
      <c r="U311" s="44">
        <f ca="1">月次返済表!G313</f>
        <v>142266.59803560199</v>
      </c>
      <c r="V311" s="44"/>
      <c r="W311" s="44">
        <f t="shared" ca="1" si="6"/>
        <v>3.2188836485147476E-8</v>
      </c>
      <c r="X311" s="44">
        <f t="shared" ca="1" si="7"/>
        <v>7966.8409595608537</v>
      </c>
    </row>
    <row r="312" spans="15:24">
      <c r="O312" s="43" t="str">
        <f>TEXT((月次返済表!A314-1)/12,"0.0")</f>
        <v>25.7</v>
      </c>
      <c r="P312" s="44">
        <f ca="1">月次返済表!S314</f>
        <v>55932.305685599196</v>
      </c>
      <c r="Q312" s="44">
        <f ca="1">月次返済表!T314</f>
        <v>94301.133309531462</v>
      </c>
      <c r="R312" s="44">
        <f ca="1">月次返済表!H314</f>
        <v>36807.200891556284</v>
      </c>
      <c r="S312" s="44">
        <f ca="1">月次返済表!I314</f>
        <v>105459.39714404571</v>
      </c>
      <c r="T312" s="44">
        <f ca="1">月次返済表!R314</f>
        <v>150233.43899513065</v>
      </c>
      <c r="U312" s="44">
        <f ca="1">月次返済表!G314</f>
        <v>142266.59803560199</v>
      </c>
      <c r="V312" s="44"/>
      <c r="W312" s="44">
        <f t="shared" ca="1" si="6"/>
        <v>3.2188836485147476E-8</v>
      </c>
      <c r="X312" s="44">
        <f t="shared" ca="1" si="7"/>
        <v>7966.8409595608537</v>
      </c>
    </row>
    <row r="313" spans="15:24">
      <c r="O313" s="43" t="str">
        <f>TEXT((月次返済表!A315-1)/12,"0.0")</f>
        <v>25.8</v>
      </c>
      <c r="P313" s="44">
        <f ca="1">月次返済表!S315</f>
        <v>55539.384296809476</v>
      </c>
      <c r="Q313" s="44">
        <f ca="1">月次返済表!T315</f>
        <v>94694.054698321183</v>
      </c>
      <c r="R313" s="44">
        <f ca="1">月次返済表!H315</f>
        <v>36367.786736789429</v>
      </c>
      <c r="S313" s="44">
        <f ca="1">月次返済表!I315</f>
        <v>105898.81129881256</v>
      </c>
      <c r="T313" s="44">
        <f ca="1">月次返済表!R315</f>
        <v>150233.43899513065</v>
      </c>
      <c r="U313" s="44">
        <f ca="1">月次返済表!G315</f>
        <v>142266.59803560199</v>
      </c>
      <c r="V313" s="44"/>
      <c r="W313" s="44">
        <f t="shared" ca="1" si="6"/>
        <v>3.2188836485147476E-8</v>
      </c>
      <c r="X313" s="44">
        <f t="shared" ca="1" si="7"/>
        <v>7966.8409595608537</v>
      </c>
    </row>
    <row r="314" spans="15:24">
      <c r="O314" s="43" t="str">
        <f>TEXT((月次返済表!A316-1)/12,"0.0")</f>
        <v>25.8</v>
      </c>
      <c r="P314" s="44">
        <f ca="1">月次返済表!S316</f>
        <v>55144.825735566475</v>
      </c>
      <c r="Q314" s="44">
        <f ca="1">月次返済表!T316</f>
        <v>95088.613259564183</v>
      </c>
      <c r="R314" s="44">
        <f ca="1">月次返済表!H316</f>
        <v>35926.541689711041</v>
      </c>
      <c r="S314" s="44">
        <f ca="1">月次返済表!I316</f>
        <v>106340.05634589095</v>
      </c>
      <c r="T314" s="44">
        <f ca="1">月次返済表!R316</f>
        <v>150233.43899513065</v>
      </c>
      <c r="U314" s="44">
        <f ca="1">月次返済表!G316</f>
        <v>142266.59803560199</v>
      </c>
      <c r="V314" s="44"/>
      <c r="W314" s="44">
        <f t="shared" ca="1" si="6"/>
        <v>3.2188836485147476E-8</v>
      </c>
      <c r="X314" s="44">
        <f t="shared" ca="1" si="7"/>
        <v>7966.8409595608537</v>
      </c>
    </row>
    <row r="315" spans="15:24">
      <c r="O315" s="43" t="str">
        <f>TEXT((月次返済表!A317-1)/12,"0.0")</f>
        <v>25.9</v>
      </c>
      <c r="P315" s="44">
        <f ca="1">月次返済表!S317</f>
        <v>54748.623180318282</v>
      </c>
      <c r="Q315" s="44">
        <f ca="1">月次返済表!T317</f>
        <v>95484.815814812377</v>
      </c>
      <c r="R315" s="44">
        <f ca="1">月次返済表!H317</f>
        <v>35483.458121603158</v>
      </c>
      <c r="S315" s="44">
        <f ca="1">月次返済表!I317</f>
        <v>106783.13991399884</v>
      </c>
      <c r="T315" s="44">
        <f ca="1">月次返済表!R317</f>
        <v>150233.43899513065</v>
      </c>
      <c r="U315" s="44">
        <f ca="1">月次返済表!G317</f>
        <v>142266.59803560199</v>
      </c>
      <c r="V315" s="44"/>
      <c r="W315" s="44">
        <f t="shared" ca="1" si="6"/>
        <v>3.2188836485147476E-8</v>
      </c>
      <c r="X315" s="44">
        <f t="shared" ca="1" si="7"/>
        <v>7966.8409595608537</v>
      </c>
    </row>
    <row r="316" spans="15:24">
      <c r="O316" s="43" t="str">
        <f>TEXT((月次返済表!A318-1)/12,"0.0")</f>
        <v>26.0</v>
      </c>
      <c r="P316" s="44">
        <f ca="1">月次返済表!S318</f>
        <v>54350.769781089904</v>
      </c>
      <c r="Q316" s="44">
        <f ca="1">月次返済表!T318</f>
        <v>95882.669214040739</v>
      </c>
      <c r="R316" s="44">
        <f ca="1">月次返済表!H318</f>
        <v>35038.528371961504</v>
      </c>
      <c r="S316" s="44">
        <f ca="1">月次返済表!I318</f>
        <v>107228.06966364049</v>
      </c>
      <c r="T316" s="44">
        <f ca="1">月次返済表!R318</f>
        <v>150233.43899513065</v>
      </c>
      <c r="U316" s="44">
        <f ca="1">月次返済表!G318</f>
        <v>142266.59803560199</v>
      </c>
      <c r="V316" s="44"/>
      <c r="W316" s="44">
        <f t="shared" ca="1" si="6"/>
        <v>3.2188836485147476E-8</v>
      </c>
      <c r="X316" s="44">
        <f t="shared" ca="1" si="7"/>
        <v>7966.8409595608537</v>
      </c>
    </row>
    <row r="317" spans="15:24">
      <c r="O317" s="43" t="str">
        <f>TEXT((月次返済表!A319-1)/12,"0.0")</f>
        <v>26.1</v>
      </c>
      <c r="P317" s="44">
        <f ca="1">月次返済表!S319</f>
        <v>53951.258659364736</v>
      </c>
      <c r="Q317" s="44">
        <f ca="1">月次返済表!T319</f>
        <v>96282.180335765908</v>
      </c>
      <c r="R317" s="44">
        <f ca="1">月次返済表!H319</f>
        <v>34591.744748363002</v>
      </c>
      <c r="S317" s="44">
        <f ca="1">月次返済表!I319</f>
        <v>107674.85328723898</v>
      </c>
      <c r="T317" s="44">
        <f ca="1">月次返済表!R319</f>
        <v>150233.43899513065</v>
      </c>
      <c r="U317" s="44">
        <f ca="1">月次返済表!G319</f>
        <v>142266.59803560199</v>
      </c>
      <c r="V317" s="44"/>
      <c r="W317" s="44">
        <f t="shared" ca="1" si="6"/>
        <v>3.2188836485147476E-8</v>
      </c>
      <c r="X317" s="44">
        <f t="shared" ca="1" si="7"/>
        <v>7966.8409595608537</v>
      </c>
    </row>
    <row r="318" spans="15:24">
      <c r="O318" s="43" t="str">
        <f>TEXT((月次返済表!A320-1)/12,"0.0")</f>
        <v>26.2</v>
      </c>
      <c r="P318" s="44">
        <f ca="1">月次返済表!S320</f>
        <v>53550.08290796572</v>
      </c>
      <c r="Q318" s="44">
        <f ca="1">月次返済表!T320</f>
        <v>96683.356087164924</v>
      </c>
      <c r="R318" s="44">
        <f ca="1">月次返済表!H320</f>
        <v>34143.099526332844</v>
      </c>
      <c r="S318" s="44">
        <f ca="1">月次返済表!I320</f>
        <v>108123.49850926915</v>
      </c>
      <c r="T318" s="44">
        <f ca="1">月次返済表!R320</f>
        <v>150233.43899513065</v>
      </c>
      <c r="U318" s="44">
        <f ca="1">月次返済表!G320</f>
        <v>142266.59803560199</v>
      </c>
      <c r="V318" s="44"/>
      <c r="W318" s="44">
        <f t="shared" ca="1" si="6"/>
        <v>3.2188836485147476E-8</v>
      </c>
      <c r="X318" s="44">
        <f t="shared" ca="1" si="7"/>
        <v>7966.8409595608537</v>
      </c>
    </row>
    <row r="319" spans="15:24">
      <c r="O319" s="43" t="str">
        <f>TEXT((月次返済表!A321-1)/12,"0.0")</f>
        <v>26.3</v>
      </c>
      <c r="P319" s="44">
        <f ca="1">月次返済表!S321</f>
        <v>53147.235590935859</v>
      </c>
      <c r="Q319" s="44">
        <f ca="1">月次返済表!T321</f>
        <v>97086.203404194792</v>
      </c>
      <c r="R319" s="44">
        <f ca="1">月次返済表!H321</f>
        <v>33692.58494921089</v>
      </c>
      <c r="S319" s="44">
        <f ca="1">月次返済表!I321</f>
        <v>108574.01308639109</v>
      </c>
      <c r="T319" s="44">
        <f ca="1">月次返済表!R321</f>
        <v>150233.43899513065</v>
      </c>
      <c r="U319" s="44">
        <f ca="1">月次返済表!G321</f>
        <v>142266.59803560199</v>
      </c>
      <c r="V319" s="44"/>
      <c r="W319" s="44">
        <f t="shared" ca="1" si="6"/>
        <v>3.2188836485147476E-8</v>
      </c>
      <c r="X319" s="44">
        <f t="shared" ca="1" si="7"/>
        <v>7966.8409595608537</v>
      </c>
    </row>
    <row r="320" spans="15:24">
      <c r="O320" s="43" t="str">
        <f>TEXT((月次返済表!A322-1)/12,"0.0")</f>
        <v>26.3</v>
      </c>
      <c r="P320" s="44">
        <f ca="1">月次返済表!S322</f>
        <v>52742.709743418382</v>
      </c>
      <c r="Q320" s="44">
        <f ca="1">月次返済表!T322</f>
        <v>97490.72925171227</v>
      </c>
      <c r="R320" s="44">
        <f ca="1">月次返済表!H322</f>
        <v>33240.19322801759</v>
      </c>
      <c r="S320" s="44">
        <f ca="1">月次返済表!I322</f>
        <v>109026.40480758439</v>
      </c>
      <c r="T320" s="44">
        <f ca="1">月次返済表!R322</f>
        <v>150233.43899513065</v>
      </c>
      <c r="U320" s="44">
        <f ca="1">月次返済表!G322</f>
        <v>142266.59803560199</v>
      </c>
      <c r="V320" s="44"/>
      <c r="W320" s="44">
        <f t="shared" ca="1" si="6"/>
        <v>3.2188836485147476E-8</v>
      </c>
      <c r="X320" s="44">
        <f t="shared" ca="1" si="7"/>
        <v>7966.8409595608537</v>
      </c>
    </row>
    <row r="321" spans="15:24">
      <c r="O321" s="43" t="str">
        <f>TEXT((月次返済表!A323-1)/12,"0.0")</f>
        <v>26.4</v>
      </c>
      <c r="P321" s="44">
        <f ca="1">月次返済表!S323</f>
        <v>52336.49837153624</v>
      </c>
      <c r="Q321" s="44">
        <f ca="1">月次返済表!T323</f>
        <v>97896.940623594419</v>
      </c>
      <c r="R321" s="44">
        <f ca="1">月次返済表!H323</f>
        <v>32785.916541319319</v>
      </c>
      <c r="S321" s="44">
        <f ca="1">月次返済表!I323</f>
        <v>109480.68149428267</v>
      </c>
      <c r="T321" s="44">
        <f ca="1">月次返済表!R323</f>
        <v>150233.43899513065</v>
      </c>
      <c r="U321" s="44">
        <f ca="1">月次返済表!G323</f>
        <v>142266.59803560199</v>
      </c>
      <c r="V321" s="44"/>
      <c r="W321" s="44">
        <f t="shared" ca="1" si="6"/>
        <v>3.2188836485147476E-8</v>
      </c>
      <c r="X321" s="44">
        <f t="shared" ca="1" si="7"/>
        <v>7966.8409595608537</v>
      </c>
    </row>
    <row r="322" spans="15:24">
      <c r="O322" s="43" t="str">
        <f>TEXT((月次返済表!A324-1)/12,"0.0")</f>
        <v>26.5</v>
      </c>
      <c r="P322" s="44">
        <f ca="1">月次返済表!S324</f>
        <v>51928.594452271267</v>
      </c>
      <c r="Q322" s="44">
        <f ca="1">月次返済表!T324</f>
        <v>98304.844542859384</v>
      </c>
      <c r="R322" s="44">
        <f ca="1">月次返済表!H324</f>
        <v>32329.747035093143</v>
      </c>
      <c r="S322" s="44">
        <f ca="1">月次返済表!I324</f>
        <v>109936.85100050885</v>
      </c>
      <c r="T322" s="44">
        <f ca="1">月次返済表!R324</f>
        <v>150233.43899513065</v>
      </c>
      <c r="U322" s="44">
        <f ca="1">月次返済表!G324</f>
        <v>142266.59803560199</v>
      </c>
      <c r="V322" s="44"/>
      <c r="W322" s="44">
        <f t="shared" ca="1" si="6"/>
        <v>3.2188836485147476E-8</v>
      </c>
      <c r="X322" s="44">
        <f t="shared" ca="1" si="7"/>
        <v>7966.8409595608537</v>
      </c>
    </row>
    <row r="323" spans="15:24">
      <c r="O323" s="43" t="str">
        <f>TEXT((月次返済表!A325-1)/12,"0.0")</f>
        <v>26.6</v>
      </c>
      <c r="P323" s="44">
        <f ca="1">月次返済表!S325</f>
        <v>51518.990933342684</v>
      </c>
      <c r="Q323" s="44">
        <f ca="1">月次返済表!T325</f>
        <v>98714.44806178796</v>
      </c>
      <c r="R323" s="44">
        <f ca="1">月次返済表!H325</f>
        <v>31871.676822591024</v>
      </c>
      <c r="S323" s="44">
        <f ca="1">月次返済表!I325</f>
        <v>110394.92121301097</v>
      </c>
      <c r="T323" s="44">
        <f ca="1">月次返済表!R325</f>
        <v>150233.43899513065</v>
      </c>
      <c r="U323" s="44">
        <f ca="1">月次返済表!G325</f>
        <v>142266.59803560199</v>
      </c>
      <c r="V323" s="44"/>
      <c r="W323" s="44">
        <f t="shared" ca="1" si="6"/>
        <v>3.2188836485147476E-8</v>
      </c>
      <c r="X323" s="44">
        <f t="shared" ca="1" si="7"/>
        <v>7966.8409595608537</v>
      </c>
    </row>
    <row r="324" spans="15:24">
      <c r="O324" s="43" t="str">
        <f>TEXT((月次返済表!A326-1)/12,"0.0")</f>
        <v>26.7</v>
      </c>
      <c r="P324" s="44">
        <f ca="1">月次返済表!S326</f>
        <v>51107.680733085232</v>
      </c>
      <c r="Q324" s="44">
        <f ca="1">月次返済表!T326</f>
        <v>99125.75826204542</v>
      </c>
      <c r="R324" s="44">
        <f ca="1">月次返済表!H326</f>
        <v>31411.697984203478</v>
      </c>
      <c r="S324" s="44">
        <f ca="1">月次返済表!I326</f>
        <v>110854.90005139851</v>
      </c>
      <c r="T324" s="44">
        <f ca="1">月次返済表!R326</f>
        <v>150233.43899513065</v>
      </c>
      <c r="U324" s="44">
        <f ca="1">月次返済表!G326</f>
        <v>142266.59803560199</v>
      </c>
      <c r="V324" s="44"/>
      <c r="W324" s="44">
        <f t="shared" ref="W324:W387" ca="1" si="8">$V$6-T324</f>
        <v>3.2188836485147476E-8</v>
      </c>
      <c r="X324" s="44">
        <f t="shared" ref="X324:X387" ca="1" si="9">$V$6-U324</f>
        <v>7966.8409595608537</v>
      </c>
    </row>
    <row r="325" spans="15:24">
      <c r="O325" s="43" t="str">
        <f>TEXT((月次返済表!A327-1)/12,"0.0")</f>
        <v>26.8</v>
      </c>
      <c r="P325" s="44">
        <f ca="1">月次返済表!S327</f>
        <v>50694.656740326704</v>
      </c>
      <c r="Q325" s="44">
        <f ca="1">月次返済表!T327</f>
        <v>99538.782254803955</v>
      </c>
      <c r="R325" s="44">
        <f ca="1">月次返済表!H327</f>
        <v>30949.802567322651</v>
      </c>
      <c r="S325" s="44">
        <f ca="1">月次返済表!I327</f>
        <v>111316.79546827934</v>
      </c>
      <c r="T325" s="44">
        <f ca="1">月次返済表!R327</f>
        <v>150233.43899513065</v>
      </c>
      <c r="U325" s="44">
        <f ca="1">月次返済表!G327</f>
        <v>142266.59803560199</v>
      </c>
      <c r="V325" s="44"/>
      <c r="W325" s="44">
        <f t="shared" ca="1" si="8"/>
        <v>3.2188836485147476E-8</v>
      </c>
      <c r="X325" s="44">
        <f t="shared" ca="1" si="9"/>
        <v>7966.8409595608537</v>
      </c>
    </row>
    <row r="326" spans="15:24">
      <c r="O326" s="43" t="str">
        <f>TEXT((月次返済表!A328-1)/12,"0.0")</f>
        <v>26.8</v>
      </c>
      <c r="P326" s="44">
        <f ca="1">月次返済表!S328</f>
        <v>50279.911814265019</v>
      </c>
      <c r="Q326" s="44">
        <f ca="1">月次返済表!T328</f>
        <v>99953.52718086564</v>
      </c>
      <c r="R326" s="44">
        <f ca="1">月次返済表!H328</f>
        <v>30485.98258620482</v>
      </c>
      <c r="S326" s="44">
        <f ca="1">月次返済表!I328</f>
        <v>111780.61544939717</v>
      </c>
      <c r="T326" s="44">
        <f ca="1">月次返済表!R328</f>
        <v>150233.43899513065</v>
      </c>
      <c r="U326" s="44">
        <f ca="1">月次返済表!G328</f>
        <v>142266.59803560199</v>
      </c>
      <c r="V326" s="44"/>
      <c r="W326" s="44">
        <f t="shared" ca="1" si="8"/>
        <v>3.2188836485147476E-8</v>
      </c>
      <c r="X326" s="44">
        <f t="shared" ca="1" si="9"/>
        <v>7966.8409595608537</v>
      </c>
    </row>
    <row r="327" spans="15:24">
      <c r="O327" s="43" t="str">
        <f>TEXT((月次返済表!A329-1)/12,"0.0")</f>
        <v>26.9</v>
      </c>
      <c r="P327" s="44">
        <f ca="1">月次返済表!S329</f>
        <v>49863.438784344755</v>
      </c>
      <c r="Q327" s="44">
        <f ca="1">月次返済表!T329</f>
        <v>100370.00021078589</v>
      </c>
      <c r="R327" s="44">
        <f ca="1">月次返済表!H329</f>
        <v>30020.230021832336</v>
      </c>
      <c r="S327" s="44">
        <f ca="1">月次返済表!I329</f>
        <v>112246.36801376965</v>
      </c>
      <c r="T327" s="44">
        <f ca="1">月次返済表!R329</f>
        <v>150233.43899513065</v>
      </c>
      <c r="U327" s="44">
        <f ca="1">月次返済表!G329</f>
        <v>142266.59803560199</v>
      </c>
      <c r="V327" s="44"/>
      <c r="W327" s="44">
        <f t="shared" ca="1" si="8"/>
        <v>3.2188836485147476E-8</v>
      </c>
      <c r="X327" s="44">
        <f t="shared" ca="1" si="9"/>
        <v>7966.8409595608537</v>
      </c>
    </row>
    <row r="328" spans="15:24">
      <c r="O328" s="43" t="str">
        <f>TEXT((月次返済表!A330-1)/12,"0.0")</f>
        <v>27.0</v>
      </c>
      <c r="P328" s="44">
        <f ca="1">月次返済表!S330</f>
        <v>49445.230450133145</v>
      </c>
      <c r="Q328" s="44">
        <f ca="1">月次返済表!T330</f>
        <v>100788.2085449975</v>
      </c>
      <c r="R328" s="44">
        <f ca="1">月次返済表!H330</f>
        <v>29552.536821774964</v>
      </c>
      <c r="S328" s="44">
        <f ca="1">月次返済表!I330</f>
        <v>112714.06121382702</v>
      </c>
      <c r="T328" s="44">
        <f ca="1">月次返済表!R330</f>
        <v>150233.43899513065</v>
      </c>
      <c r="U328" s="44">
        <f ca="1">月次返済表!G330</f>
        <v>142266.59803560199</v>
      </c>
      <c r="V328" s="44"/>
      <c r="W328" s="44">
        <f t="shared" ca="1" si="8"/>
        <v>3.2188836485147476E-8</v>
      </c>
      <c r="X328" s="44">
        <f t="shared" ca="1" si="9"/>
        <v>7966.8409595608537</v>
      </c>
    </row>
    <row r="329" spans="15:24">
      <c r="O329" s="43" t="str">
        <f>TEXT((月次返済表!A331-1)/12,"0.0")</f>
        <v>27.1</v>
      </c>
      <c r="P329" s="44">
        <f ca="1">月次返済表!S331</f>
        <v>49025.279581195653</v>
      </c>
      <c r="Q329" s="44">
        <f ca="1">月次返済表!T331</f>
        <v>101208.15941393501</v>
      </c>
      <c r="R329" s="44">
        <f ca="1">月次返済表!H331</f>
        <v>29082.894900050684</v>
      </c>
      <c r="S329" s="44">
        <f ca="1">月次返済表!I331</f>
        <v>113183.7031355513</v>
      </c>
      <c r="T329" s="44">
        <f ca="1">月次返済表!R331</f>
        <v>150233.43899513065</v>
      </c>
      <c r="U329" s="44">
        <f ca="1">月次返済表!G331</f>
        <v>142266.59803560199</v>
      </c>
      <c r="V329" s="44"/>
      <c r="W329" s="44">
        <f t="shared" ca="1" si="8"/>
        <v>3.2188836485147476E-8</v>
      </c>
      <c r="X329" s="44">
        <f t="shared" ca="1" si="9"/>
        <v>7966.8409595608537</v>
      </c>
    </row>
    <row r="330" spans="15:24">
      <c r="O330" s="43" t="str">
        <f>TEXT((月次返済表!A332-1)/12,"0.0")</f>
        <v>27.2</v>
      </c>
      <c r="P330" s="44">
        <f ca="1">月次返済表!S332</f>
        <v>48603.578916970924</v>
      </c>
      <c r="Q330" s="44">
        <f ca="1">月次返済表!T332</f>
        <v>101629.86007815972</v>
      </c>
      <c r="R330" s="44">
        <f ca="1">月次返済表!H332</f>
        <v>28611.296136985886</v>
      </c>
      <c r="S330" s="44">
        <f ca="1">月次返済表!I332</f>
        <v>113655.3018986161</v>
      </c>
      <c r="T330" s="44">
        <f ca="1">月次返済表!R332</f>
        <v>150233.43899513065</v>
      </c>
      <c r="U330" s="44">
        <f ca="1">月次返済表!G332</f>
        <v>142266.59803560199</v>
      </c>
      <c r="V330" s="44"/>
      <c r="W330" s="44">
        <f t="shared" ca="1" si="8"/>
        <v>3.2188836485147476E-8</v>
      </c>
      <c r="X330" s="44">
        <f t="shared" ca="1" si="9"/>
        <v>7966.8409595608537</v>
      </c>
    </row>
    <row r="331" spans="15:24">
      <c r="O331" s="43" t="str">
        <f>TEXT((月次返済表!A333-1)/12,"0.0")</f>
        <v>27.3</v>
      </c>
      <c r="P331" s="44">
        <f ca="1">月次返済表!S333</f>
        <v>48180.121166645258</v>
      </c>
      <c r="Q331" s="44">
        <f ca="1">月次返済表!T333</f>
        <v>102053.31782848539</v>
      </c>
      <c r="R331" s="44">
        <f ca="1">月次返済表!H333</f>
        <v>28137.732379074983</v>
      </c>
      <c r="S331" s="44">
        <f ca="1">月次返済表!I333</f>
        <v>114128.86565652701</v>
      </c>
      <c r="T331" s="44">
        <f ca="1">月次返済表!R333</f>
        <v>150233.43899513065</v>
      </c>
      <c r="U331" s="44">
        <f ca="1">月次返済表!G333</f>
        <v>142266.59803560199</v>
      </c>
      <c r="V331" s="44"/>
      <c r="W331" s="44">
        <f t="shared" ca="1" si="8"/>
        <v>3.2188836485147476E-8</v>
      </c>
      <c r="X331" s="44">
        <f t="shared" ca="1" si="9"/>
        <v>7966.8409595608537</v>
      </c>
    </row>
    <row r="332" spans="15:24">
      <c r="O332" s="43" t="str">
        <f>TEXT((月次返済表!A334-1)/12,"0.0")</f>
        <v>27.3</v>
      </c>
      <c r="P332" s="44">
        <f ca="1">月次返済表!S334</f>
        <v>47754.899009026565</v>
      </c>
      <c r="Q332" s="44">
        <f ca="1">月次返済表!T334</f>
        <v>102478.53998610409</v>
      </c>
      <c r="R332" s="44">
        <f ca="1">月次返済表!H334</f>
        <v>27662.195438839455</v>
      </c>
      <c r="S332" s="44">
        <f ca="1">月次返済表!I334</f>
        <v>114604.40259676253</v>
      </c>
      <c r="T332" s="44">
        <f ca="1">月次返済表!R334</f>
        <v>150233.43899513065</v>
      </c>
      <c r="U332" s="44">
        <f ca="1">月次返済表!G334</f>
        <v>142266.59803560199</v>
      </c>
      <c r="V332" s="44"/>
      <c r="W332" s="44">
        <f t="shared" ca="1" si="8"/>
        <v>3.2188836485147476E-8</v>
      </c>
      <c r="X332" s="44">
        <f t="shared" ca="1" si="9"/>
        <v>7966.8409595608537</v>
      </c>
    </row>
    <row r="333" spans="15:24">
      <c r="O333" s="43" t="str">
        <f>TEXT((月次返済表!A335-1)/12,"0.0")</f>
        <v>27.4</v>
      </c>
      <c r="P333" s="44">
        <f ca="1">月次返済表!S335</f>
        <v>47327.905092417794</v>
      </c>
      <c r="Q333" s="44">
        <f ca="1">月次返済表!T335</f>
        <v>102905.53390271286</v>
      </c>
      <c r="R333" s="44">
        <f ca="1">月次返済表!H335</f>
        <v>27184.677094686282</v>
      </c>
      <c r="S333" s="44">
        <f ca="1">月次返済表!I335</f>
        <v>115081.9209409157</v>
      </c>
      <c r="T333" s="44">
        <f ca="1">月次返済表!R335</f>
        <v>150233.43899513065</v>
      </c>
      <c r="U333" s="44">
        <f ca="1">月次返済表!G335</f>
        <v>142266.59803560199</v>
      </c>
      <c r="V333" s="44"/>
      <c r="W333" s="44">
        <f t="shared" ca="1" si="8"/>
        <v>3.2188836485147476E-8</v>
      </c>
      <c r="X333" s="44">
        <f t="shared" ca="1" si="9"/>
        <v>7966.8409595608537</v>
      </c>
    </row>
    <row r="334" spans="15:24">
      <c r="O334" s="43" t="str">
        <f>TEXT((月次返済表!A336-1)/12,"0.0")</f>
        <v>27.5</v>
      </c>
      <c r="P334" s="44">
        <f ca="1">月次返済表!S336</f>
        <v>46899.132034489834</v>
      </c>
      <c r="Q334" s="44">
        <f ca="1">月次返済表!T336</f>
        <v>103334.30696064082</v>
      </c>
      <c r="R334" s="44">
        <f ca="1">月次返済表!H336</f>
        <v>26705.169090765801</v>
      </c>
      <c r="S334" s="44">
        <f ca="1">月次返済表!I336</f>
        <v>115561.42894483618</v>
      </c>
      <c r="T334" s="44">
        <f ca="1">月次返済表!R336</f>
        <v>150233.43899513065</v>
      </c>
      <c r="U334" s="44">
        <f ca="1">月次返済表!G336</f>
        <v>142266.59803560199</v>
      </c>
      <c r="V334" s="44"/>
      <c r="W334" s="44">
        <f t="shared" ca="1" si="8"/>
        <v>3.2188836485147476E-8</v>
      </c>
      <c r="X334" s="44">
        <f t="shared" ca="1" si="9"/>
        <v>7966.8409595608537</v>
      </c>
    </row>
    <row r="335" spans="15:24">
      <c r="O335" s="43" t="str">
        <f>TEXT((月次返済表!A337-1)/12,"0.0")</f>
        <v>27.6</v>
      </c>
      <c r="P335" s="44">
        <f ca="1">月次返済表!S337</f>
        <v>46468.572422153833</v>
      </c>
      <c r="Q335" s="44">
        <f ca="1">月次返済表!T337</f>
        <v>103764.86657297681</v>
      </c>
      <c r="R335" s="44">
        <f ca="1">月次返済表!H337</f>
        <v>26223.663136828982</v>
      </c>
      <c r="S335" s="44">
        <f ca="1">月次返済表!I337</f>
        <v>116042.934898773</v>
      </c>
      <c r="T335" s="44">
        <f ca="1">月次返済表!R337</f>
        <v>150233.43899513065</v>
      </c>
      <c r="U335" s="44">
        <f ca="1">月次返済表!G337</f>
        <v>142266.59803560199</v>
      </c>
      <c r="V335" s="44"/>
      <c r="W335" s="44">
        <f t="shared" ca="1" si="8"/>
        <v>3.2188836485147476E-8</v>
      </c>
      <c r="X335" s="44">
        <f t="shared" ca="1" si="9"/>
        <v>7966.8409595608537</v>
      </c>
    </row>
    <row r="336" spans="15:24">
      <c r="O336" s="43" t="str">
        <f>TEXT((月次返済表!A338-1)/12,"0.0")</f>
        <v>27.7</v>
      </c>
      <c r="P336" s="44">
        <f ca="1">月次返済表!S338</f>
        <v>46036.218811433093</v>
      </c>
      <c r="Q336" s="44">
        <f ca="1">月次返済表!T338</f>
        <v>104197.22018369756</v>
      </c>
      <c r="R336" s="44">
        <f ca="1">月次返済表!H338</f>
        <v>25740.150908084091</v>
      </c>
      <c r="S336" s="44">
        <f ca="1">月次返済表!I338</f>
        <v>116526.44712751789</v>
      </c>
      <c r="T336" s="44">
        <f ca="1">月次返済表!R338</f>
        <v>150233.43899513065</v>
      </c>
      <c r="U336" s="44">
        <f ca="1">月次返済表!G338</f>
        <v>142266.59803560199</v>
      </c>
      <c r="V336" s="44"/>
      <c r="W336" s="44">
        <f t="shared" ca="1" si="8"/>
        <v>3.2188836485147476E-8</v>
      </c>
      <c r="X336" s="44">
        <f t="shared" ca="1" si="9"/>
        <v>7966.8409595608537</v>
      </c>
    </row>
    <row r="337" spans="15:24">
      <c r="O337" s="43" t="str">
        <f>TEXT((月次返済表!A339-1)/12,"0.0")</f>
        <v>27.8</v>
      </c>
      <c r="P337" s="44">
        <f ca="1">月次返済表!S339</f>
        <v>45602.063727334353</v>
      </c>
      <c r="Q337" s="44">
        <f ca="1">月次返済表!T339</f>
        <v>104631.37526779631</v>
      </c>
      <c r="R337" s="44">
        <f ca="1">月次返済表!H339</f>
        <v>25254.624045052766</v>
      </c>
      <c r="S337" s="44">
        <f ca="1">月次返済表!I339</f>
        <v>117011.97399054922</v>
      </c>
      <c r="T337" s="44">
        <f ca="1">月次返済表!R339</f>
        <v>150233.43899513065</v>
      </c>
      <c r="U337" s="44">
        <f ca="1">月次返済表!G339</f>
        <v>142266.59803560199</v>
      </c>
      <c r="V337" s="44"/>
      <c r="W337" s="44">
        <f t="shared" ca="1" si="8"/>
        <v>3.2188836485147476E-8</v>
      </c>
      <c r="X337" s="44">
        <f t="shared" ca="1" si="9"/>
        <v>7966.8409595608537</v>
      </c>
    </row>
    <row r="338" spans="15:24">
      <c r="O338" s="43" t="str">
        <f>TEXT((月次返済表!A340-1)/12,"0.0")</f>
        <v>27.8</v>
      </c>
      <c r="P338" s="44">
        <f ca="1">月次返済表!S340</f>
        <v>45166.099663718538</v>
      </c>
      <c r="Q338" s="44">
        <f ca="1">月次返済表!T340</f>
        <v>105067.33933141211</v>
      </c>
      <c r="R338" s="44">
        <f ca="1">月次返済表!H340</f>
        <v>24767.074153425478</v>
      </c>
      <c r="S338" s="44">
        <f ca="1">月次返済表!I340</f>
        <v>117499.52388217651</v>
      </c>
      <c r="T338" s="44">
        <f ca="1">月次返済表!R340</f>
        <v>150233.43899513065</v>
      </c>
      <c r="U338" s="44">
        <f ca="1">月次返済表!G340</f>
        <v>142266.59803560199</v>
      </c>
      <c r="V338" s="44"/>
      <c r="W338" s="44">
        <f t="shared" ca="1" si="8"/>
        <v>3.2188836485147476E-8</v>
      </c>
      <c r="X338" s="44">
        <f t="shared" ca="1" si="9"/>
        <v>7966.8409595608537</v>
      </c>
    </row>
    <row r="339" spans="15:24">
      <c r="O339" s="43" t="str">
        <f>TEXT((月次返済表!A341-1)/12,"0.0")</f>
        <v>27.9</v>
      </c>
      <c r="P339" s="44">
        <f ca="1">月次返済表!S341</f>
        <v>44728.319083170987</v>
      </c>
      <c r="Q339" s="44">
        <f ca="1">月次返済表!T341</f>
        <v>105505.11991195966</v>
      </c>
      <c r="R339" s="44">
        <f ca="1">月次返済表!H341</f>
        <v>24277.492803916408</v>
      </c>
      <c r="S339" s="44">
        <f ca="1">月次返済表!I341</f>
        <v>117989.10523168558</v>
      </c>
      <c r="T339" s="44">
        <f ca="1">月次返済表!R341</f>
        <v>150233.43899513065</v>
      </c>
      <c r="U339" s="44">
        <f ca="1">月次返済表!G341</f>
        <v>142266.59803560199</v>
      </c>
      <c r="V339" s="44"/>
      <c r="W339" s="44">
        <f t="shared" ca="1" si="8"/>
        <v>3.2188836485147476E-8</v>
      </c>
      <c r="X339" s="44">
        <f t="shared" ca="1" si="9"/>
        <v>7966.8409595608537</v>
      </c>
    </row>
    <row r="340" spans="15:24">
      <c r="O340" s="43" t="str">
        <f>TEXT((月次返済表!A342-1)/12,"0.0")</f>
        <v>28.0</v>
      </c>
      <c r="P340" s="44">
        <f ca="1">月次返済表!S342</f>
        <v>44288.714416871146</v>
      </c>
      <c r="Q340" s="44">
        <f ca="1">月次返済表!T342</f>
        <v>105944.72457825951</v>
      </c>
      <c r="R340" s="44">
        <f ca="1">月次返済表!H342</f>
        <v>23785.871532117715</v>
      </c>
      <c r="S340" s="44">
        <f ca="1">月次返済表!I342</f>
        <v>118480.72650348427</v>
      </c>
      <c r="T340" s="44">
        <f ca="1">月次返済表!R342</f>
        <v>150233.43899513065</v>
      </c>
      <c r="U340" s="44">
        <f ca="1">月次返済表!G342</f>
        <v>142266.59803560199</v>
      </c>
      <c r="V340" s="44"/>
      <c r="W340" s="44">
        <f t="shared" ca="1" si="8"/>
        <v>3.2188836485147476E-8</v>
      </c>
      <c r="X340" s="44">
        <f t="shared" ca="1" si="9"/>
        <v>7966.8409595608537</v>
      </c>
    </row>
    <row r="341" spans="15:24">
      <c r="O341" s="43" t="str">
        <f>TEXT((月次返済表!A343-1)/12,"0.0")</f>
        <v>28.1</v>
      </c>
      <c r="P341" s="44">
        <f ca="1">月次返済表!S343</f>
        <v>43847.278064461738</v>
      </c>
      <c r="Q341" s="44">
        <f ca="1">月次返済表!T343</f>
        <v>106386.16093066891</v>
      </c>
      <c r="R341" s="44">
        <f ca="1">月次返済表!H343</f>
        <v>23292.201838353198</v>
      </c>
      <c r="S341" s="44">
        <f ca="1">月次返済表!I343</f>
        <v>118974.39619724879</v>
      </c>
      <c r="T341" s="44">
        <f ca="1">月次返済表!R343</f>
        <v>150233.43899513065</v>
      </c>
      <c r="U341" s="44">
        <f ca="1">月次返済表!G343</f>
        <v>142266.59803560199</v>
      </c>
      <c r="V341" s="44"/>
      <c r="W341" s="44">
        <f t="shared" ca="1" si="8"/>
        <v>3.2188836485147476E-8</v>
      </c>
      <c r="X341" s="44">
        <f t="shared" ca="1" si="9"/>
        <v>7966.8409595608537</v>
      </c>
    </row>
    <row r="342" spans="15:24">
      <c r="O342" s="43" t="str">
        <f>TEXT((月次返済表!A344-1)/12,"0.0")</f>
        <v>28.2</v>
      </c>
      <c r="P342" s="44">
        <f ca="1">月次返済表!S344</f>
        <v>43404.002393917282</v>
      </c>
      <c r="Q342" s="44">
        <f ca="1">月次返済表!T344</f>
        <v>106829.43660121337</v>
      </c>
      <c r="R342" s="44">
        <f ca="1">月次返済表!H344</f>
        <v>22796.475187531327</v>
      </c>
      <c r="S342" s="44">
        <f ca="1">月次返済表!I344</f>
        <v>119470.12284807066</v>
      </c>
      <c r="T342" s="44">
        <f ca="1">月次返済表!R344</f>
        <v>150233.43899513065</v>
      </c>
      <c r="U342" s="44">
        <f ca="1">月次返済表!G344</f>
        <v>142266.59803560199</v>
      </c>
      <c r="V342" s="44"/>
      <c r="W342" s="44">
        <f t="shared" ca="1" si="8"/>
        <v>3.2188836485147476E-8</v>
      </c>
      <c r="X342" s="44">
        <f t="shared" ca="1" si="9"/>
        <v>7966.8409595608537</v>
      </c>
    </row>
    <row r="343" spans="15:24">
      <c r="O343" s="43" t="str">
        <f>TEXT((月次返済表!A345-1)/12,"0.0")</f>
        <v>28.3</v>
      </c>
      <c r="P343" s="44">
        <f ca="1">月次返済表!S345</f>
        <v>42958.879741412224</v>
      </c>
      <c r="Q343" s="44">
        <f ca="1">月次返済表!T345</f>
        <v>107274.55925371843</v>
      </c>
      <c r="R343" s="44">
        <f ca="1">月次返済表!H345</f>
        <v>22298.683008997701</v>
      </c>
      <c r="S343" s="44">
        <f ca="1">月次返済表!I345</f>
        <v>119967.91502660429</v>
      </c>
      <c r="T343" s="44">
        <f ca="1">月次返済表!R345</f>
        <v>150233.43899513065</v>
      </c>
      <c r="U343" s="44">
        <f ca="1">月次返済表!G345</f>
        <v>142266.59803560199</v>
      </c>
      <c r="V343" s="44"/>
      <c r="W343" s="44">
        <f t="shared" ca="1" si="8"/>
        <v>3.2188836485147476E-8</v>
      </c>
      <c r="X343" s="44">
        <f t="shared" ca="1" si="9"/>
        <v>7966.8409595608537</v>
      </c>
    </row>
    <row r="344" spans="15:24">
      <c r="O344" s="43" t="str">
        <f>TEXT((月次返済表!A346-1)/12,"0.0")</f>
        <v>28.3</v>
      </c>
      <c r="P344" s="44">
        <f ca="1">月次返済表!S346</f>
        <v>42511.902411188399</v>
      </c>
      <c r="Q344" s="44">
        <f ca="1">月次返済表!T346</f>
        <v>107721.53658394224</v>
      </c>
      <c r="R344" s="44">
        <f ca="1">月次返済表!H346</f>
        <v>21798.816696386853</v>
      </c>
      <c r="S344" s="44">
        <f ca="1">月次返済表!I346</f>
        <v>120467.78133921513</v>
      </c>
      <c r="T344" s="44">
        <f ca="1">月次返済表!R346</f>
        <v>150233.43899513065</v>
      </c>
      <c r="U344" s="44">
        <f ca="1">月次返済表!G346</f>
        <v>142266.59803560199</v>
      </c>
      <c r="V344" s="44"/>
      <c r="W344" s="44">
        <f t="shared" ca="1" si="8"/>
        <v>3.2188836485147476E-8</v>
      </c>
      <c r="X344" s="44">
        <f t="shared" ca="1" si="9"/>
        <v>7966.8409595608537</v>
      </c>
    </row>
    <row r="345" spans="15:24">
      <c r="O345" s="43" t="str">
        <f>TEXT((月次返済表!A347-1)/12,"0.0")</f>
        <v>28.4</v>
      </c>
      <c r="P345" s="44">
        <f ca="1">月次返済表!S347</f>
        <v>42063.062675421977</v>
      </c>
      <c r="Q345" s="44">
        <f ca="1">月次返済表!T347</f>
        <v>108170.37631970868</v>
      </c>
      <c r="R345" s="44">
        <f ca="1">月次返済表!H347</f>
        <v>21296.867607473454</v>
      </c>
      <c r="S345" s="44">
        <f ca="1">月次返済表!I347</f>
        <v>120969.73042812853</v>
      </c>
      <c r="T345" s="44">
        <f ca="1">月次返済表!R347</f>
        <v>150233.43899513065</v>
      </c>
      <c r="U345" s="44">
        <f ca="1">月次返済表!G347</f>
        <v>142266.59803560199</v>
      </c>
      <c r="V345" s="44"/>
      <c r="W345" s="44">
        <f t="shared" ca="1" si="8"/>
        <v>3.2188836485147476E-8</v>
      </c>
      <c r="X345" s="44">
        <f t="shared" ca="1" si="9"/>
        <v>7966.8409595608537</v>
      </c>
    </row>
    <row r="346" spans="15:24">
      <c r="O346" s="43" t="str">
        <f>TEXT((月次返済表!A348-1)/12,"0.0")</f>
        <v>28.5</v>
      </c>
      <c r="P346" s="44">
        <f ca="1">月次返済表!S348</f>
        <v>41612.352774089857</v>
      </c>
      <c r="Q346" s="44">
        <f ca="1">月次返済表!T348</f>
        <v>108621.08622104079</v>
      </c>
      <c r="R346" s="44">
        <f ca="1">月次返済表!H348</f>
        <v>20792.82706402292</v>
      </c>
      <c r="S346" s="44">
        <f ca="1">月次返済表!I348</f>
        <v>121473.77097157907</v>
      </c>
      <c r="T346" s="44">
        <f ca="1">月次返済表!R348</f>
        <v>150233.43899513065</v>
      </c>
      <c r="U346" s="44">
        <f ca="1">月次返済表!G348</f>
        <v>142266.59803560199</v>
      </c>
      <c r="V346" s="44"/>
      <c r="W346" s="44">
        <f t="shared" ca="1" si="8"/>
        <v>3.2188836485147476E-8</v>
      </c>
      <c r="X346" s="44">
        <f t="shared" ca="1" si="9"/>
        <v>7966.8409595608537</v>
      </c>
    </row>
    <row r="347" spans="15:24">
      <c r="O347" s="43" t="str">
        <f>TEXT((月次返済表!A349-1)/12,"0.0")</f>
        <v>28.6</v>
      </c>
      <c r="P347" s="44">
        <f ca="1">月次返済表!S349</f>
        <v>41159.764914835519</v>
      </c>
      <c r="Q347" s="44">
        <f ca="1">月次返済表!T349</f>
        <v>109073.67408029514</v>
      </c>
      <c r="R347" s="44">
        <f ca="1">月次返済表!H349</f>
        <v>20286.68635164134</v>
      </c>
      <c r="S347" s="44">
        <f ca="1">月次返済表!I349</f>
        <v>121979.91168396064</v>
      </c>
      <c r="T347" s="44">
        <f ca="1">月次返済表!R349</f>
        <v>150233.43899513065</v>
      </c>
      <c r="U347" s="44">
        <f ca="1">月次返済表!G349</f>
        <v>142266.59803560199</v>
      </c>
      <c r="V347" s="44"/>
      <c r="W347" s="44">
        <f t="shared" ca="1" si="8"/>
        <v>3.2188836485147476E-8</v>
      </c>
      <c r="X347" s="44">
        <f t="shared" ca="1" si="9"/>
        <v>7966.8409595608537</v>
      </c>
    </row>
    <row r="348" spans="15:24">
      <c r="O348" s="43" t="str">
        <f>TEXT((月次返済表!A350-1)/12,"0.0")</f>
        <v>28.7</v>
      </c>
      <c r="P348" s="44">
        <f ca="1">月次返済表!S350</f>
        <v>40705.291272834285</v>
      </c>
      <c r="Q348" s="44">
        <f ca="1">月次返済表!T350</f>
        <v>109528.14772229636</v>
      </c>
      <c r="R348" s="44">
        <f ca="1">月次返済表!H350</f>
        <v>19778.436719624835</v>
      </c>
      <c r="S348" s="44">
        <f ca="1">月次返済表!I350</f>
        <v>122488.16131597715</v>
      </c>
      <c r="T348" s="44">
        <f ca="1">月次返済表!R350</f>
        <v>150233.43899513065</v>
      </c>
      <c r="U348" s="44">
        <f ca="1">月次返済表!G350</f>
        <v>142266.59803560199</v>
      </c>
      <c r="V348" s="44"/>
      <c r="W348" s="44">
        <f t="shared" ca="1" si="8"/>
        <v>3.2188836485147476E-8</v>
      </c>
      <c r="X348" s="44">
        <f t="shared" ca="1" si="9"/>
        <v>7966.8409595608537</v>
      </c>
    </row>
    <row r="349" spans="15:24">
      <c r="O349" s="43" t="str">
        <f>TEXT((月次返済表!A351-1)/12,"0.0")</f>
        <v>28.8</v>
      </c>
      <c r="P349" s="44">
        <f ca="1">月次返済表!S351</f>
        <v>40248.923990658055</v>
      </c>
      <c r="Q349" s="44">
        <f ca="1">月次返済表!T351</f>
        <v>109984.5150044726</v>
      </c>
      <c r="R349" s="44">
        <f ca="1">月次返済表!H351</f>
        <v>19268.069380808261</v>
      </c>
      <c r="S349" s="44">
        <f ca="1">月次返済表!I351</f>
        <v>122998.52865479373</v>
      </c>
      <c r="T349" s="44">
        <f ca="1">月次返済表!R351</f>
        <v>150233.43899513065</v>
      </c>
      <c r="U349" s="44">
        <f ca="1">月次返済表!G351</f>
        <v>142266.59803560199</v>
      </c>
      <c r="V349" s="44"/>
      <c r="W349" s="44">
        <f t="shared" ca="1" si="8"/>
        <v>3.2188836485147476E-8</v>
      </c>
      <c r="X349" s="44">
        <f t="shared" ca="1" si="9"/>
        <v>7966.8409595608537</v>
      </c>
    </row>
    <row r="350" spans="15:24">
      <c r="O350" s="43" t="str">
        <f>TEXT((月次返済表!A352-1)/12,"0.0")</f>
        <v>28.8</v>
      </c>
      <c r="P350" s="44">
        <f ca="1">月次返済表!S352</f>
        <v>39790.655178139416</v>
      </c>
      <c r="Q350" s="44">
        <f ca="1">月次返済表!T352</f>
        <v>110442.78381699123</v>
      </c>
      <c r="R350" s="44">
        <f ca="1">月次返済表!H352</f>
        <v>18755.575511413288</v>
      </c>
      <c r="S350" s="44">
        <f ca="1">月次返済表!I352</f>
        <v>123511.02252418869</v>
      </c>
      <c r="T350" s="44">
        <f ca="1">月次返済表!R352</f>
        <v>150233.43899513065</v>
      </c>
      <c r="U350" s="44">
        <f ca="1">月次返済表!G352</f>
        <v>142266.59803560199</v>
      </c>
      <c r="V350" s="44"/>
      <c r="W350" s="44">
        <f t="shared" ca="1" si="8"/>
        <v>3.2188836485147476E-8</v>
      </c>
      <c r="X350" s="44">
        <f t="shared" ca="1" si="9"/>
        <v>7966.8409595608537</v>
      </c>
    </row>
    <row r="351" spans="15:24">
      <c r="O351" s="43" t="str">
        <f>TEXT((月次返済表!A353-1)/12,"0.0")</f>
        <v>28.9</v>
      </c>
      <c r="P351" s="44">
        <f ca="1">月次返済表!S353</f>
        <v>39330.476912235281</v>
      </c>
      <c r="Q351" s="44">
        <f ca="1">月次返済表!T353</f>
        <v>110902.96208289536</v>
      </c>
      <c r="R351" s="44">
        <f ca="1">月次返済表!H353</f>
        <v>18240.946250895839</v>
      </c>
      <c r="S351" s="44">
        <f ca="1">月次返済表!I353</f>
        <v>124025.65178470615</v>
      </c>
      <c r="T351" s="44">
        <f ca="1">月次返済表!R353</f>
        <v>150233.43899513065</v>
      </c>
      <c r="U351" s="44">
        <f ca="1">月次返済表!G353</f>
        <v>142266.59803560199</v>
      </c>
      <c r="V351" s="44"/>
      <c r="W351" s="44">
        <f t="shared" ca="1" si="8"/>
        <v>3.2188836485147476E-8</v>
      </c>
      <c r="X351" s="44">
        <f t="shared" ca="1" si="9"/>
        <v>7966.8409595608537</v>
      </c>
    </row>
    <row r="352" spans="15:24">
      <c r="O352" s="43" t="str">
        <f>TEXT((月次返済表!A354-1)/12,"0.0")</f>
        <v>29.0</v>
      </c>
      <c r="P352" s="44">
        <f ca="1">月次返済表!S354</f>
        <v>38868.381236889887</v>
      </c>
      <c r="Q352" s="44">
        <f ca="1">月次返済表!T354</f>
        <v>111365.05775824076</v>
      </c>
      <c r="R352" s="44">
        <f ca="1">月次返済表!H354</f>
        <v>17724.172701792897</v>
      </c>
      <c r="S352" s="44">
        <f ca="1">月次返済表!I354</f>
        <v>124542.42533380909</v>
      </c>
      <c r="T352" s="44">
        <f ca="1">月次返済表!R354</f>
        <v>150233.43899513065</v>
      </c>
      <c r="U352" s="44">
        <f ca="1">月次返済表!G354</f>
        <v>142266.59803560199</v>
      </c>
      <c r="V352" s="44"/>
      <c r="W352" s="44">
        <f t="shared" ca="1" si="8"/>
        <v>3.2188836485147476E-8</v>
      </c>
      <c r="X352" s="44">
        <f t="shared" ca="1" si="9"/>
        <v>7966.8409595608537</v>
      </c>
    </row>
    <row r="353" spans="15:24">
      <c r="O353" s="43" t="str">
        <f>TEXT((月次返済表!A355-1)/12,"0.0")</f>
        <v>29.1</v>
      </c>
      <c r="P353" s="44">
        <f ca="1">月次返済表!S355</f>
        <v>38404.360162897225</v>
      </c>
      <c r="Q353" s="44">
        <f ca="1">月次返済表!T355</f>
        <v>111829.07883223343</v>
      </c>
      <c r="R353" s="44">
        <f ca="1">月次返済表!H355</f>
        <v>17205.245929568693</v>
      </c>
      <c r="S353" s="44">
        <f ca="1">月次返済表!I355</f>
        <v>125061.3521060333</v>
      </c>
      <c r="T353" s="44">
        <f ca="1">月次返済表!R355</f>
        <v>150233.43899513065</v>
      </c>
      <c r="U353" s="44">
        <f ca="1">月次返済表!G355</f>
        <v>142266.59803560199</v>
      </c>
      <c r="V353" s="44"/>
      <c r="W353" s="44">
        <f t="shared" ca="1" si="8"/>
        <v>3.2188836485147476E-8</v>
      </c>
      <c r="X353" s="44">
        <f t="shared" ca="1" si="9"/>
        <v>7966.8409595608537</v>
      </c>
    </row>
    <row r="354" spans="15:24">
      <c r="O354" s="43" t="str">
        <f>TEXT((月次返済表!A356-1)/12,"0.0")</f>
        <v>29.2</v>
      </c>
      <c r="P354" s="44">
        <f ca="1">月次返済表!S356</f>
        <v>37938.40566776292</v>
      </c>
      <c r="Q354" s="44">
        <f ca="1">月次返済表!T356</f>
        <v>112295.03332736774</v>
      </c>
      <c r="R354" s="44">
        <f ca="1">月次返済表!H356</f>
        <v>16684.15696246022</v>
      </c>
      <c r="S354" s="44">
        <f ca="1">月次返済表!I356</f>
        <v>125582.44107314176</v>
      </c>
      <c r="T354" s="44">
        <f ca="1">月次返済表!R356</f>
        <v>150233.43899513065</v>
      </c>
      <c r="U354" s="44">
        <f ca="1">月次返済表!G356</f>
        <v>142266.59803560199</v>
      </c>
      <c r="V354" s="44"/>
      <c r="W354" s="44">
        <f t="shared" ca="1" si="8"/>
        <v>3.2188836485147476E-8</v>
      </c>
      <c r="X354" s="44">
        <f t="shared" ca="1" si="9"/>
        <v>7966.8409595608537</v>
      </c>
    </row>
    <row r="355" spans="15:24">
      <c r="O355" s="43" t="str">
        <f>TEXT((月次返済表!A357-1)/12,"0.0")</f>
        <v>29.3</v>
      </c>
      <c r="P355" s="44">
        <f ca="1">月次返済表!S357</f>
        <v>37470.509695565554</v>
      </c>
      <c r="Q355" s="44">
        <f ca="1">月次返済表!T357</f>
        <v>112762.92929956509</v>
      </c>
      <c r="R355" s="44">
        <f ca="1">月次返済表!H357</f>
        <v>16160.89679132213</v>
      </c>
      <c r="S355" s="44">
        <f ca="1">月次返済表!I357</f>
        <v>126105.70124427986</v>
      </c>
      <c r="T355" s="44">
        <f ca="1">月次返済表!R357</f>
        <v>150233.43899513065</v>
      </c>
      <c r="U355" s="44">
        <f ca="1">月次返済表!G357</f>
        <v>142266.59803560199</v>
      </c>
      <c r="V355" s="44"/>
      <c r="W355" s="44">
        <f t="shared" ca="1" si="8"/>
        <v>3.2188836485147476E-8</v>
      </c>
      <c r="X355" s="44">
        <f t="shared" ca="1" si="9"/>
        <v>7966.8409595608537</v>
      </c>
    </row>
    <row r="356" spans="15:24">
      <c r="O356" s="43" t="str">
        <f>TEXT((月次返済表!A358-1)/12,"0.0")</f>
        <v>29.3</v>
      </c>
      <c r="P356" s="44">
        <f ca="1">月次返済表!S358</f>
        <v>37000.664156817365</v>
      </c>
      <c r="Q356" s="44">
        <f ca="1">月次返済表!T358</f>
        <v>113232.77483831329</v>
      </c>
      <c r="R356" s="44">
        <f ca="1">月次返済表!H358</f>
        <v>15635.456369470965</v>
      </c>
      <c r="S356" s="44">
        <f ca="1">月次返済表!I358</f>
        <v>126631.14166613102</v>
      </c>
      <c r="T356" s="44">
        <f ca="1">月次返済表!R358</f>
        <v>150233.43899513065</v>
      </c>
      <c r="U356" s="44">
        <f ca="1">月次返済表!G358</f>
        <v>142266.59803560199</v>
      </c>
      <c r="V356" s="44"/>
      <c r="W356" s="44">
        <f t="shared" ca="1" si="8"/>
        <v>3.2188836485147476E-8</v>
      </c>
      <c r="X356" s="44">
        <f t="shared" ca="1" si="9"/>
        <v>7966.8409595608537</v>
      </c>
    </row>
    <row r="357" spans="15:24">
      <c r="O357" s="43" t="str">
        <f>TEXT((月次返済表!A359-1)/12,"0.0")</f>
        <v>29.4</v>
      </c>
      <c r="P357" s="44">
        <f ca="1">月次返済表!S359</f>
        <v>36528.860928324393</v>
      </c>
      <c r="Q357" s="44">
        <f ca="1">月次返済表!T359</f>
        <v>113704.57806680625</v>
      </c>
      <c r="R357" s="44">
        <f ca="1">月次返済表!H359</f>
        <v>15107.826612528754</v>
      </c>
      <c r="S357" s="44">
        <f ca="1">月次返済表!I359</f>
        <v>127158.77142307324</v>
      </c>
      <c r="T357" s="44">
        <f ca="1">月次返済表!R359</f>
        <v>150233.43899513065</v>
      </c>
      <c r="U357" s="44">
        <f ca="1">月次返済表!G359</f>
        <v>142266.59803560199</v>
      </c>
      <c r="V357" s="44"/>
      <c r="W357" s="44">
        <f t="shared" ca="1" si="8"/>
        <v>3.2188836485147476E-8</v>
      </c>
      <c r="X357" s="44">
        <f t="shared" ca="1" si="9"/>
        <v>7966.8409595608537</v>
      </c>
    </row>
    <row r="358" spans="15:24">
      <c r="O358" s="43" t="str">
        <f>TEXT((月次返済表!A360-1)/12,"0.0")</f>
        <v>29.5</v>
      </c>
      <c r="P358" s="44">
        <f ca="1">月次返済表!S360</f>
        <v>36055.09185304604</v>
      </c>
      <c r="Q358" s="44">
        <f ca="1">月次返済表!T360</f>
        <v>114178.34714208462</v>
      </c>
      <c r="R358" s="44">
        <f ca="1">月次返済表!H360</f>
        <v>14577.998398265947</v>
      </c>
      <c r="S358" s="44">
        <f ca="1">月次返済表!I360</f>
        <v>127688.59963733604</v>
      </c>
      <c r="T358" s="44">
        <f ca="1">月次返済表!R360</f>
        <v>150233.43899513065</v>
      </c>
      <c r="U358" s="44">
        <f ca="1">月次返済表!G360</f>
        <v>142266.59803560199</v>
      </c>
      <c r="V358" s="44"/>
      <c r="W358" s="44">
        <f t="shared" ca="1" si="8"/>
        <v>3.2188836485147476E-8</v>
      </c>
      <c r="X358" s="44">
        <f t="shared" ca="1" si="9"/>
        <v>7966.8409595608537</v>
      </c>
    </row>
    <row r="359" spans="15:24">
      <c r="O359" s="43" t="str">
        <f>TEXT((月次返済表!A361-1)/12,"0.0")</f>
        <v>29.6</v>
      </c>
      <c r="P359" s="44">
        <f ca="1">月次返済表!S361</f>
        <v>35579.348739954017</v>
      </c>
      <c r="Q359" s="44">
        <f ca="1">月次返済表!T361</f>
        <v>114654.09025517663</v>
      </c>
      <c r="R359" s="44">
        <f ca="1">月次返済表!H361</f>
        <v>14045.962566443714</v>
      </c>
      <c r="S359" s="44">
        <f ca="1">月次返済表!I361</f>
        <v>128220.63546915827</v>
      </c>
      <c r="T359" s="44">
        <f ca="1">月次返済表!R361</f>
        <v>150233.43899513065</v>
      </c>
      <c r="U359" s="44">
        <f ca="1">月次返済表!G361</f>
        <v>142266.59803560199</v>
      </c>
      <c r="V359" s="44"/>
      <c r="W359" s="44">
        <f t="shared" ca="1" si="8"/>
        <v>3.2188836485147476E-8</v>
      </c>
      <c r="X359" s="44">
        <f t="shared" ca="1" si="9"/>
        <v>7966.8409595608537</v>
      </c>
    </row>
    <row r="360" spans="15:24">
      <c r="O360" s="43" t="str">
        <f>TEXT((月次返済表!A362-1)/12,"0.0")</f>
        <v>29.7</v>
      </c>
      <c r="P360" s="44">
        <f ca="1">月次返済表!S362</f>
        <v>35101.62336389078</v>
      </c>
      <c r="Q360" s="44">
        <f ca="1">月次返済表!T362</f>
        <v>115131.81563123988</v>
      </c>
      <c r="R360" s="44">
        <f ca="1">月次返済表!H362</f>
        <v>13511.709918655555</v>
      </c>
      <c r="S360" s="44">
        <f ca="1">月次返済表!I362</f>
        <v>128754.88811694643</v>
      </c>
      <c r="T360" s="44">
        <f ca="1">月次返済表!R362</f>
        <v>150233.43899513065</v>
      </c>
      <c r="U360" s="44">
        <f ca="1">月次返済表!G362</f>
        <v>142266.59803560199</v>
      </c>
      <c r="V360" s="44"/>
      <c r="W360" s="44">
        <f t="shared" ca="1" si="8"/>
        <v>3.2188836485147476E-8</v>
      </c>
      <c r="X360" s="44">
        <f t="shared" ca="1" si="9"/>
        <v>7966.8409595608537</v>
      </c>
    </row>
    <row r="361" spans="15:24">
      <c r="O361" s="43" t="str">
        <f>TEXT((月次返済表!A363-1)/12,"0.0")</f>
        <v>29.8</v>
      </c>
      <c r="P361" s="44">
        <f ca="1">月次返済表!S363</f>
        <v>34621.907465427277</v>
      </c>
      <c r="Q361" s="44">
        <f ca="1">月次返済表!T363</f>
        <v>115611.53152970338</v>
      </c>
      <c r="R361" s="44">
        <f ca="1">月次返済表!H363</f>
        <v>12975.231218168277</v>
      </c>
      <c r="S361" s="44">
        <f ca="1">月次返済表!I363</f>
        <v>129291.36681743371</v>
      </c>
      <c r="T361" s="44">
        <f ca="1">月次返済表!R363</f>
        <v>150233.43899513065</v>
      </c>
      <c r="U361" s="44">
        <f ca="1">月次返済表!G363</f>
        <v>142266.59803560199</v>
      </c>
      <c r="V361" s="44"/>
      <c r="W361" s="44">
        <f t="shared" ca="1" si="8"/>
        <v>3.2188836485147476E-8</v>
      </c>
      <c r="X361" s="44">
        <f t="shared" ca="1" si="9"/>
        <v>7966.8409595608537</v>
      </c>
    </row>
    <row r="362" spans="15:24">
      <c r="O362" s="43" t="str">
        <f>TEXT((月次返済表!A364-1)/12,"0.0")</f>
        <v>29.8</v>
      </c>
      <c r="P362" s="44">
        <f ca="1">月次返済表!S364</f>
        <v>34140.192750720184</v>
      </c>
      <c r="Q362" s="44">
        <f ca="1">月次返済表!T364</f>
        <v>116093.24624441046</v>
      </c>
      <c r="R362" s="44">
        <f ca="1">月次返済表!H364</f>
        <v>12436.517189762302</v>
      </c>
      <c r="S362" s="44">
        <f ca="1">月次返済表!I364</f>
        <v>129830.08084583968</v>
      </c>
      <c r="T362" s="44">
        <f ca="1">月次返済表!R364</f>
        <v>150233.43899513065</v>
      </c>
      <c r="U362" s="44">
        <f ca="1">月次返済表!G364</f>
        <v>142266.59803560199</v>
      </c>
      <c r="V362" s="44"/>
      <c r="W362" s="44">
        <f t="shared" ca="1" si="8"/>
        <v>3.2188836485147476E-8</v>
      </c>
      <c r="X362" s="44">
        <f t="shared" ca="1" si="9"/>
        <v>7966.8409595608537</v>
      </c>
    </row>
    <row r="363" spans="15:24">
      <c r="O363" s="43" t="str">
        <f>TEXT((月次返済表!A365-1)/12,"0.0")</f>
        <v>29.9</v>
      </c>
      <c r="P363" s="44">
        <f ca="1">月次返済表!S365</f>
        <v>33656.470891368481</v>
      </c>
      <c r="Q363" s="44">
        <f ca="1">月次返済表!T365</f>
        <v>116576.96810376216</v>
      </c>
      <c r="R363" s="44">
        <f ca="1">月次返済表!H365</f>
        <v>11895.558519571305</v>
      </c>
      <c r="S363" s="44">
        <f ca="1">月次返済表!I365</f>
        <v>130371.03951603068</v>
      </c>
      <c r="T363" s="44">
        <f ca="1">月次返済表!R365</f>
        <v>150233.43899513065</v>
      </c>
      <c r="U363" s="44">
        <f ca="1">月次返済表!G365</f>
        <v>142266.59803560199</v>
      </c>
      <c r="V363" s="44"/>
      <c r="W363" s="44">
        <f t="shared" ca="1" si="8"/>
        <v>3.2188836485147476E-8</v>
      </c>
      <c r="X363" s="44">
        <f t="shared" ca="1" si="9"/>
        <v>7966.8409595608537</v>
      </c>
    </row>
    <row r="364" spans="15:24">
      <c r="O364" s="43" t="str">
        <f>TEXT((月次返済表!A366-1)/12,"0.0")</f>
        <v>30.0</v>
      </c>
      <c r="P364" s="44">
        <f ca="1">月次返済表!S366</f>
        <v>33170.733524269468</v>
      </c>
      <c r="Q364" s="44">
        <f ca="1">月次返済表!T366</f>
        <v>117062.70547086177</v>
      </c>
      <c r="R364" s="44">
        <f ca="1">月次返済表!H366</f>
        <v>11352.345854921177</v>
      </c>
      <c r="S364" s="44">
        <f ca="1">月次返済表!I366</f>
        <v>130914.25218068244</v>
      </c>
      <c r="T364" s="44">
        <f ca="1">月次返済表!R366</f>
        <v>150233.43899513123</v>
      </c>
      <c r="U364" s="44">
        <f ca="1">月次返済表!G366</f>
        <v>142266.59803560362</v>
      </c>
      <c r="V364" s="44"/>
      <c r="W364" s="44">
        <f t="shared" ca="1" si="8"/>
        <v>3.1606759876012802E-8</v>
      </c>
      <c r="X364" s="44">
        <f t="shared" ca="1" si="9"/>
        <v>7966.8409595592238</v>
      </c>
    </row>
    <row r="365" spans="15:24">
      <c r="O365" s="43" t="str">
        <f>TEXT((月次返済表!A367-1)/12,"0.0")</f>
        <v>30.1</v>
      </c>
      <c r="P365" s="44">
        <f ca="1">月次返済表!S367</f>
        <v>32682.972251474213</v>
      </c>
      <c r="Q365" s="44">
        <f ca="1">月次返済表!T367</f>
        <v>117550.46674365702</v>
      </c>
      <c r="R365" s="44">
        <f ca="1">月次返済表!H367</f>
        <v>10806.869804168333</v>
      </c>
      <c r="S365" s="44">
        <f ca="1">月次返済表!I367</f>
        <v>131459.72823143529</v>
      </c>
      <c r="T365" s="44">
        <f ca="1">月次返済表!R367</f>
        <v>150233.43899513123</v>
      </c>
      <c r="U365" s="44">
        <f ca="1">月次返済表!G367</f>
        <v>142266.59803560362</v>
      </c>
      <c r="V365" s="44"/>
      <c r="W365" s="44">
        <f t="shared" ca="1" si="8"/>
        <v>3.1606759876012802E-8</v>
      </c>
      <c r="X365" s="44">
        <f t="shared" ca="1" si="9"/>
        <v>7966.8409595592238</v>
      </c>
    </row>
    <row r="366" spans="15:24">
      <c r="O366" s="43" t="str">
        <f>TEXT((月次返済表!A368-1)/12,"0.0")</f>
        <v>30.2</v>
      </c>
      <c r="P366" s="44">
        <f ca="1">月次返済表!S368</f>
        <v>32193.178640042304</v>
      </c>
      <c r="Q366" s="44">
        <f ca="1">月次返済表!T368</f>
        <v>118040.26035508893</v>
      </c>
      <c r="R366" s="44">
        <f ca="1">月次返済表!H368</f>
        <v>10259.120936537352</v>
      </c>
      <c r="S366" s="44">
        <f ca="1">月次返済表!I368</f>
        <v>132007.47709906625</v>
      </c>
      <c r="T366" s="44">
        <f ca="1">月次返済表!R368</f>
        <v>150233.43899513123</v>
      </c>
      <c r="U366" s="44">
        <f ca="1">月次返済表!G368</f>
        <v>142266.59803560362</v>
      </c>
      <c r="V366" s="44"/>
      <c r="W366" s="44">
        <f t="shared" ca="1" si="8"/>
        <v>3.1606759876012802E-8</v>
      </c>
      <c r="X366" s="44">
        <f t="shared" ca="1" si="9"/>
        <v>7966.8409595592238</v>
      </c>
    </row>
    <row r="367" spans="15:24">
      <c r="O367" s="43" t="str">
        <f>TEXT((月次返済表!A369-1)/12,"0.0")</f>
        <v>30.3</v>
      </c>
      <c r="P367" s="44">
        <f ca="1">月次返済表!S369</f>
        <v>31701.344221896103</v>
      </c>
      <c r="Q367" s="44">
        <f ca="1">月次返済表!T369</f>
        <v>118532.09477323513</v>
      </c>
      <c r="R367" s="44">
        <f ca="1">月次返済表!H369</f>
        <v>9709.0897819579095</v>
      </c>
      <c r="S367" s="44">
        <f ca="1">月次返済表!I369</f>
        <v>132557.5082536457</v>
      </c>
      <c r="T367" s="44">
        <f ca="1">月次返済表!R369</f>
        <v>150233.43899513123</v>
      </c>
      <c r="U367" s="44">
        <f ca="1">月次返済表!G369</f>
        <v>142266.59803560362</v>
      </c>
      <c r="V367" s="44"/>
      <c r="W367" s="44">
        <f t="shared" ca="1" si="8"/>
        <v>3.1606759876012802E-8</v>
      </c>
      <c r="X367" s="44">
        <f t="shared" ca="1" si="9"/>
        <v>7966.8409595592238</v>
      </c>
    </row>
    <row r="368" spans="15:24">
      <c r="O368" s="43" t="str">
        <f>TEXT((月次返済表!A370-1)/12,"0.0")</f>
        <v>30.3</v>
      </c>
      <c r="P368" s="44">
        <f ca="1">月次返済表!S370</f>
        <v>31207.460493674287</v>
      </c>
      <c r="Q368" s="44">
        <f ca="1">月次返済表!T370</f>
        <v>119025.97850145695</v>
      </c>
      <c r="R368" s="44">
        <f ca="1">月次返済表!H370</f>
        <v>9156.7668309010533</v>
      </c>
      <c r="S368" s="44">
        <f ca="1">月次返済表!I370</f>
        <v>133109.83120470255</v>
      </c>
      <c r="T368" s="44">
        <f ca="1">月次返済表!R370</f>
        <v>150233.43899513123</v>
      </c>
      <c r="U368" s="44">
        <f ca="1">月次返済表!G370</f>
        <v>142266.59803560362</v>
      </c>
      <c r="V368" s="44"/>
      <c r="W368" s="44">
        <f t="shared" ca="1" si="8"/>
        <v>3.1606759876012802E-8</v>
      </c>
      <c r="X368" s="44">
        <f t="shared" ca="1" si="9"/>
        <v>7966.8409595592238</v>
      </c>
    </row>
    <row r="369" spans="15:24">
      <c r="O369" s="43" t="str">
        <f>TEXT((月次返済表!A371-1)/12,"0.0")</f>
        <v>30.4</v>
      </c>
      <c r="P369" s="44">
        <f ca="1">月次返済表!S371</f>
        <v>30711.518916584886</v>
      </c>
      <c r="Q369" s="44">
        <f ca="1">月次返済表!T371</f>
        <v>119521.92007854635</v>
      </c>
      <c r="R369" s="44">
        <f ca="1">月次返済表!H371</f>
        <v>8602.1425342147922</v>
      </c>
      <c r="S369" s="44">
        <f ca="1">月次返済表!I371</f>
        <v>133664.45550138882</v>
      </c>
      <c r="T369" s="44">
        <f ca="1">月次返済表!R371</f>
        <v>150233.43899513123</v>
      </c>
      <c r="U369" s="44">
        <f ca="1">月次返済表!G371</f>
        <v>142266.59803560362</v>
      </c>
      <c r="V369" s="44"/>
      <c r="W369" s="44">
        <f t="shared" ca="1" si="8"/>
        <v>3.1606759876012802E-8</v>
      </c>
      <c r="X369" s="44">
        <f t="shared" ca="1" si="9"/>
        <v>7966.8409595592238</v>
      </c>
    </row>
    <row r="370" spans="15:24">
      <c r="O370" s="43" t="str">
        <f>TEXT((月次返済表!A372-1)/12,"0.0")</f>
        <v>30.5</v>
      </c>
      <c r="P370" s="44">
        <f ca="1">月次返済表!S372</f>
        <v>30213.510916257608</v>
      </c>
      <c r="Q370" s="44">
        <f ca="1">月次返済表!T372</f>
        <v>120019.92807887362</v>
      </c>
      <c r="R370" s="44">
        <f ca="1">月次返済表!H372</f>
        <v>8045.2073029590056</v>
      </c>
      <c r="S370" s="44">
        <f ca="1">月次返済表!I372</f>
        <v>134221.39073264462</v>
      </c>
      <c r="T370" s="44">
        <f ca="1">月次返済表!R372</f>
        <v>150233.43899513123</v>
      </c>
      <c r="U370" s="44">
        <f ca="1">月次返済表!G372</f>
        <v>142266.59803560362</v>
      </c>
      <c r="V370" s="44"/>
      <c r="W370" s="44">
        <f t="shared" ca="1" si="8"/>
        <v>3.1606759876012802E-8</v>
      </c>
      <c r="X370" s="44">
        <f t="shared" ca="1" si="9"/>
        <v>7966.8409595592238</v>
      </c>
    </row>
    <row r="371" spans="15:24">
      <c r="O371" s="43" t="str">
        <f>TEXT((月次返済表!A373-1)/12,"0.0")</f>
        <v>30.6</v>
      </c>
      <c r="P371" s="44">
        <f ca="1">月次返済表!S373</f>
        <v>29713.427882595632</v>
      </c>
      <c r="Q371" s="44">
        <f ca="1">月次返済表!T373</f>
        <v>120520.01111253561</v>
      </c>
      <c r="R371" s="44">
        <f ca="1">月次返済表!H373</f>
        <v>7485.9515082396538</v>
      </c>
      <c r="S371" s="44">
        <f ca="1">月次返済表!I373</f>
        <v>134780.64652736398</v>
      </c>
      <c r="T371" s="44">
        <f ca="1">月次返済表!R373</f>
        <v>150233.43899513123</v>
      </c>
      <c r="U371" s="44">
        <f ca="1">月次返済表!G373</f>
        <v>142266.59803560362</v>
      </c>
      <c r="V371" s="44"/>
      <c r="W371" s="44">
        <f t="shared" ca="1" si="8"/>
        <v>3.1606759876012802E-8</v>
      </c>
      <c r="X371" s="44">
        <f t="shared" ca="1" si="9"/>
        <v>7966.8409595592238</v>
      </c>
    </row>
    <row r="372" spans="15:24">
      <c r="O372" s="43" t="str">
        <f>TEXT((月次返済表!A374-1)/12,"0.0")</f>
        <v>30.7</v>
      </c>
      <c r="P372" s="44">
        <f ca="1">月次返済表!S374</f>
        <v>29211.261169626738</v>
      </c>
      <c r="Q372" s="44">
        <f ca="1">月次返済表!T374</f>
        <v>121022.17782550449</v>
      </c>
      <c r="R372" s="44">
        <f ca="1">月次返済表!H374</f>
        <v>6924.3654810423031</v>
      </c>
      <c r="S372" s="44">
        <f ca="1">月次返済表!I374</f>
        <v>135342.23255456131</v>
      </c>
      <c r="T372" s="44">
        <f ca="1">月次返済表!R374</f>
        <v>150233.43899513123</v>
      </c>
      <c r="U372" s="44">
        <f ca="1">月次返済表!G374</f>
        <v>142266.59803560362</v>
      </c>
      <c r="V372" s="44"/>
      <c r="W372" s="44">
        <f t="shared" ca="1" si="8"/>
        <v>3.1606759876012802E-8</v>
      </c>
      <c r="X372" s="44">
        <f t="shared" ca="1" si="9"/>
        <v>7966.8409595592238</v>
      </c>
    </row>
    <row r="373" spans="15:24">
      <c r="O373" s="43" t="str">
        <f>TEXT((月次返済表!A375-1)/12,"0.0")</f>
        <v>30.8</v>
      </c>
      <c r="P373" s="44">
        <f ca="1">月次返済表!S375</f>
        <v>28707.002095353801</v>
      </c>
      <c r="Q373" s="44">
        <f ca="1">月次返済表!T375</f>
        <v>121526.43689977743</v>
      </c>
      <c r="R373" s="44">
        <f ca="1">月次返済表!H375</f>
        <v>6360.4395120649651</v>
      </c>
      <c r="S373" s="44">
        <f ca="1">月次返済表!I375</f>
        <v>135906.15852353864</v>
      </c>
      <c r="T373" s="44">
        <f ca="1">月次返済表!R375</f>
        <v>150233.43899513123</v>
      </c>
      <c r="U373" s="44">
        <f ca="1">月次返済表!G375</f>
        <v>142266.59803560362</v>
      </c>
      <c r="V373" s="44"/>
      <c r="W373" s="44">
        <f t="shared" ca="1" si="8"/>
        <v>3.1606759876012802E-8</v>
      </c>
      <c r="X373" s="44">
        <f t="shared" ca="1" si="9"/>
        <v>7966.8409595592238</v>
      </c>
    </row>
    <row r="374" spans="15:24">
      <c r="O374" s="43" t="str">
        <f>TEXT((月次返済表!A376-1)/12,"0.0")</f>
        <v>30.8</v>
      </c>
      <c r="P374" s="44">
        <f ca="1">月次返済表!S376</f>
        <v>28200.641941604728</v>
      </c>
      <c r="Q374" s="44">
        <f ca="1">月次返済表!T376</f>
        <v>122032.7970535265</v>
      </c>
      <c r="R374" s="44">
        <f ca="1">月次返済表!H376</f>
        <v>5794.1638515502209</v>
      </c>
      <c r="S374" s="44">
        <f ca="1">月次返済表!I376</f>
        <v>136472.43418405339</v>
      </c>
      <c r="T374" s="44">
        <f ca="1">月次返済表!R376</f>
        <v>150233.43899513123</v>
      </c>
      <c r="U374" s="44">
        <f ca="1">月次返済表!G376</f>
        <v>142266.59803560362</v>
      </c>
      <c r="V374" s="44"/>
      <c r="W374" s="44">
        <f t="shared" ca="1" si="8"/>
        <v>3.1606759876012802E-8</v>
      </c>
      <c r="X374" s="44">
        <f t="shared" ca="1" si="9"/>
        <v>7966.8409595592238</v>
      </c>
    </row>
    <row r="375" spans="15:24">
      <c r="O375" s="43" t="str">
        <f>TEXT((月次返済表!A377-1)/12,"0.0")</f>
        <v>30.9</v>
      </c>
      <c r="P375" s="44">
        <f ca="1">月次返済表!S377</f>
        <v>27692.171953881701</v>
      </c>
      <c r="Q375" s="44">
        <f ca="1">月次返済表!T377</f>
        <v>122541.26704124954</v>
      </c>
      <c r="R375" s="44">
        <f ca="1">月次返済表!H377</f>
        <v>5225.5287091166647</v>
      </c>
      <c r="S375" s="44">
        <f ca="1">月次返済表!I377</f>
        <v>137041.06932648696</v>
      </c>
      <c r="T375" s="44">
        <f ca="1">月次返済表!R377</f>
        <v>150233.43899513123</v>
      </c>
      <c r="U375" s="44">
        <f ca="1">月次返済表!G377</f>
        <v>142266.59803560362</v>
      </c>
      <c r="V375" s="44"/>
      <c r="W375" s="44">
        <f t="shared" ca="1" si="8"/>
        <v>3.1606759876012802E-8</v>
      </c>
      <c r="X375" s="44">
        <f t="shared" ca="1" si="9"/>
        <v>7966.8409595592238</v>
      </c>
    </row>
    <row r="376" spans="15:24">
      <c r="O376" s="43" t="str">
        <f>TEXT((月次返済表!A378-1)/12,"0.0")</f>
        <v>31.0</v>
      </c>
      <c r="P376" s="44">
        <f ca="1">月次返済表!S378</f>
        <v>27181.583341209829</v>
      </c>
      <c r="Q376" s="44">
        <f ca="1">月次返済表!T378</f>
        <v>123051.8556539214</v>
      </c>
      <c r="R376" s="44">
        <f ca="1">月次返済表!H378</f>
        <v>4654.5242535896359</v>
      </c>
      <c r="S376" s="44">
        <f ca="1">月次返済表!I378</f>
        <v>137612.07378201399</v>
      </c>
      <c r="T376" s="44">
        <f ca="1">月次返済表!R378</f>
        <v>150233.43899513123</v>
      </c>
      <c r="U376" s="44">
        <f ca="1">月次返済表!G378</f>
        <v>142266.59803560362</v>
      </c>
      <c r="V376" s="44"/>
      <c r="W376" s="44">
        <f t="shared" ca="1" si="8"/>
        <v>3.1606759876012802E-8</v>
      </c>
      <c r="X376" s="44">
        <f t="shared" ca="1" si="9"/>
        <v>7966.8409595592238</v>
      </c>
    </row>
    <row r="377" spans="15:24">
      <c r="O377" s="43" t="str">
        <f>TEXT((月次返済表!A379-1)/12,"0.0")</f>
        <v>31.1</v>
      </c>
      <c r="P377" s="44">
        <f ca="1">月次返済表!S379</f>
        <v>26668.867275985158</v>
      </c>
      <c r="Q377" s="44">
        <f ca="1">月次返済表!T379</f>
        <v>123564.57171914607</v>
      </c>
      <c r="R377" s="44">
        <f ca="1">月次返済表!H379</f>
        <v>4081.1406128312447</v>
      </c>
      <c r="S377" s="44">
        <f ca="1">月次返済表!I379</f>
        <v>138185.45742277236</v>
      </c>
      <c r="T377" s="44">
        <f ca="1">月次返済表!R379</f>
        <v>150233.43899513123</v>
      </c>
      <c r="U377" s="44">
        <f ca="1">月次返済表!G379</f>
        <v>142266.59803560362</v>
      </c>
      <c r="V377" s="44"/>
      <c r="W377" s="44">
        <f t="shared" ca="1" si="8"/>
        <v>3.1606759876012802E-8</v>
      </c>
      <c r="X377" s="44">
        <f t="shared" ca="1" si="9"/>
        <v>7966.8409595592238</v>
      </c>
    </row>
    <row r="378" spans="15:24">
      <c r="O378" s="43" t="str">
        <f>TEXT((月次返済表!A380-1)/12,"0.0")</f>
        <v>31.2</v>
      </c>
      <c r="P378" s="44">
        <f ca="1">月次返済表!S380</f>
        <v>26154.014893822048</v>
      </c>
      <c r="Q378" s="44">
        <f ca="1">月次返済表!T380</f>
        <v>124079.42410130918</v>
      </c>
      <c r="R378" s="44">
        <f ca="1">月次返済表!H380</f>
        <v>3505.3678735696926</v>
      </c>
      <c r="S378" s="44">
        <f ca="1">月次返済表!I380</f>
        <v>138761.23016203393</v>
      </c>
      <c r="T378" s="44">
        <f ca="1">月次返済表!R380</f>
        <v>150233.43899513123</v>
      </c>
      <c r="U378" s="44">
        <f ca="1">月次返済表!G380</f>
        <v>142266.59803560362</v>
      </c>
      <c r="V378" s="44"/>
      <c r="W378" s="44">
        <f t="shared" ca="1" si="8"/>
        <v>3.1606759876012802E-8</v>
      </c>
      <c r="X378" s="44">
        <f t="shared" ca="1" si="9"/>
        <v>7966.8409595592238</v>
      </c>
    </row>
    <row r="379" spans="15:24">
      <c r="O379" s="43" t="str">
        <f>TEXT((月次返済表!A381-1)/12,"0.0")</f>
        <v>31.3</v>
      </c>
      <c r="P379" s="44">
        <f ca="1">月次返済表!S381</f>
        <v>25637.017293399927</v>
      </c>
      <c r="Q379" s="44">
        <f ca="1">月次返済表!T381</f>
        <v>124596.42170173131</v>
      </c>
      <c r="R379" s="44">
        <f ca="1">月次返済表!H381</f>
        <v>2927.1960812278844</v>
      </c>
      <c r="S379" s="44">
        <f ca="1">月次返済表!I381</f>
        <v>139339.40195437573</v>
      </c>
      <c r="T379" s="44">
        <f ca="1">月次返済表!R381</f>
        <v>150233.43899513123</v>
      </c>
      <c r="U379" s="44">
        <f ca="1">月次返済表!G381</f>
        <v>142266.59803560362</v>
      </c>
      <c r="V379" s="44"/>
      <c r="W379" s="44">
        <f t="shared" ca="1" si="8"/>
        <v>3.1606759876012802E-8</v>
      </c>
      <c r="X379" s="44">
        <f t="shared" ca="1" si="9"/>
        <v>7966.8409595592238</v>
      </c>
    </row>
    <row r="380" spans="15:24">
      <c r="O380" s="43" t="str">
        <f>TEXT((月次返済表!A382-1)/12,"0.0")</f>
        <v>31.3</v>
      </c>
      <c r="P380" s="44">
        <f ca="1">月次返済表!S382</f>
        <v>25117.865536309382</v>
      </c>
      <c r="Q380" s="44">
        <f ca="1">月次返済表!T382</f>
        <v>125115.57345882185</v>
      </c>
      <c r="R380" s="44">
        <f ca="1">月次返済表!H382</f>
        <v>2346.6152397513188</v>
      </c>
      <c r="S380" s="44">
        <f ca="1">月次返済表!I382</f>
        <v>139919.98279585229</v>
      </c>
      <c r="T380" s="44">
        <f ca="1">月次返済表!R382</f>
        <v>150233.43899513123</v>
      </c>
      <c r="U380" s="44">
        <f ca="1">月次返済表!G382</f>
        <v>142266.59803560362</v>
      </c>
      <c r="V380" s="44"/>
      <c r="W380" s="44">
        <f t="shared" ca="1" si="8"/>
        <v>3.1606759876012802E-8</v>
      </c>
      <c r="X380" s="44">
        <f t="shared" ca="1" si="9"/>
        <v>7966.8409595592238</v>
      </c>
    </row>
    <row r="381" spans="15:24">
      <c r="O381" s="43" t="str">
        <f>TEXT((月次返済表!A383-1)/12,"0.0")</f>
        <v>31.4</v>
      </c>
      <c r="P381" s="44">
        <f ca="1">月次返済表!S383</f>
        <v>24596.550646897624</v>
      </c>
      <c r="Q381" s="44">
        <f ca="1">月次返済表!T383</f>
        <v>125636.88834823361</v>
      </c>
      <c r="R381" s="44">
        <f ca="1">月次返済表!H383</f>
        <v>1763.6153114352674</v>
      </c>
      <c r="S381" s="44">
        <f ca="1">月次返済表!I383</f>
        <v>140502.98272416834</v>
      </c>
      <c r="T381" s="44">
        <f ca="1">月次返済表!R383</f>
        <v>150233.43899513123</v>
      </c>
      <c r="U381" s="44">
        <f ca="1">月次返済表!G383</f>
        <v>142266.59803560362</v>
      </c>
      <c r="V381" s="44"/>
      <c r="W381" s="44">
        <f t="shared" ca="1" si="8"/>
        <v>3.1606759876012802E-8</v>
      </c>
      <c r="X381" s="44">
        <f t="shared" ca="1" si="9"/>
        <v>7966.8409595592238</v>
      </c>
    </row>
    <row r="382" spans="15:24">
      <c r="O382" s="43" t="str">
        <f>TEXT((月次返済表!A384-1)/12,"0.0")</f>
        <v>31.5</v>
      </c>
      <c r="P382" s="44">
        <f ca="1">月次返済表!S384</f>
        <v>24073.063612113314</v>
      </c>
      <c r="Q382" s="44">
        <f ca="1">月次返済表!T384</f>
        <v>126160.37538301792</v>
      </c>
      <c r="R382" s="44">
        <f ca="1">月次返済表!H384</f>
        <v>1178.1862167512327</v>
      </c>
      <c r="S382" s="44">
        <f ca="1">月次返済表!I384</f>
        <v>141088.41181885239</v>
      </c>
      <c r="T382" s="44">
        <f ca="1">月次返済表!R384</f>
        <v>150233.43899513123</v>
      </c>
      <c r="U382" s="44">
        <f ca="1">月次返済表!G384</f>
        <v>142266.59803560362</v>
      </c>
      <c r="V382" s="44"/>
      <c r="W382" s="44">
        <f t="shared" ca="1" si="8"/>
        <v>3.1606759876012802E-8</v>
      </c>
      <c r="X382" s="44">
        <f t="shared" ca="1" si="9"/>
        <v>7966.8409595592238</v>
      </c>
    </row>
    <row r="383" spans="15:24">
      <c r="O383" s="43" t="str">
        <f>TEXT((月次返済表!A385-1)/12,"0.0")</f>
        <v>31.6</v>
      </c>
      <c r="P383" s="44">
        <f ca="1">月次返済表!S385</f>
        <v>23547.395381350743</v>
      </c>
      <c r="Q383" s="44">
        <f ca="1">月次返済表!T385</f>
        <v>126686.04361378049</v>
      </c>
      <c r="R383" s="44">
        <f ca="1">月次返済表!H385</f>
        <v>590.31783417268105</v>
      </c>
      <c r="S383" s="44">
        <f ca="1">月次返済表!I385</f>
        <v>141676.28020144344</v>
      </c>
      <c r="T383" s="44">
        <f ca="1">月次返済表!R385</f>
        <v>150233.43899513123</v>
      </c>
      <c r="U383" s="44">
        <f ca="1">月次返済表!G385</f>
        <v>142266.59803561613</v>
      </c>
      <c r="V383" s="44"/>
      <c r="W383" s="44">
        <f t="shared" ca="1" si="8"/>
        <v>3.1606759876012802E-8</v>
      </c>
      <c r="X383" s="44">
        <f t="shared" ca="1" si="9"/>
        <v>7966.8409595467092</v>
      </c>
    </row>
    <row r="384" spans="15:24">
      <c r="O384" s="43" t="str">
        <f>TEXT((月次返済表!A386-1)/12,"0.0")</f>
        <v>31.7</v>
      </c>
      <c r="P384" s="44">
        <f ca="1">月次返済表!S386</f>
        <v>23019.536866293322</v>
      </c>
      <c r="Q384" s="44">
        <f ca="1">月次返済表!T386</f>
        <v>127213.90212883792</v>
      </c>
      <c r="R384" s="44">
        <f ca="1">月次返済表!H386</f>
        <v>0</v>
      </c>
      <c r="S384" s="44">
        <f ca="1">月次返済表!I386</f>
        <v>0</v>
      </c>
      <c r="T384" s="44">
        <f ca="1">月次返済表!R386</f>
        <v>150233.43899513123</v>
      </c>
      <c r="U384" s="44">
        <f ca="1">月次返済表!G386</f>
        <v>0</v>
      </c>
      <c r="V384" s="44"/>
      <c r="W384" s="44">
        <f t="shared" ca="1" si="8"/>
        <v>3.1606759876012802E-8</v>
      </c>
      <c r="X384" s="44">
        <f t="shared" ca="1" si="9"/>
        <v>150233.43899516284</v>
      </c>
    </row>
    <row r="385" spans="15:24">
      <c r="O385" s="43" t="str">
        <f>TEXT((月次返済表!A387-1)/12,"0.0")</f>
        <v>31.8</v>
      </c>
      <c r="P385" s="44">
        <f ca="1">月次返済表!S387</f>
        <v>22489.4789407565</v>
      </c>
      <c r="Q385" s="44">
        <f ca="1">月次返済表!T387</f>
        <v>127743.96005437474</v>
      </c>
      <c r="R385" s="44">
        <f ca="1">月次返済表!H387</f>
        <v>0</v>
      </c>
      <c r="S385" s="44">
        <f ca="1">月次返済表!I387</f>
        <v>0</v>
      </c>
      <c r="T385" s="44">
        <f ca="1">月次返済表!R387</f>
        <v>150233.43899513123</v>
      </c>
      <c r="U385" s="44">
        <f ca="1">月次返済表!G387</f>
        <v>0</v>
      </c>
      <c r="V385" s="44"/>
      <c r="W385" s="44">
        <f t="shared" ca="1" si="8"/>
        <v>3.1606759876012802E-8</v>
      </c>
      <c r="X385" s="44">
        <f t="shared" ca="1" si="9"/>
        <v>150233.43899516284</v>
      </c>
    </row>
    <row r="386" spans="15:24">
      <c r="O386" s="43" t="str">
        <f>TEXT((月次返済表!A388-1)/12,"0.0")</f>
        <v>31.8</v>
      </c>
      <c r="P386" s="44">
        <f ca="1">月次返済表!S388</f>
        <v>21957.21244052994</v>
      </c>
      <c r="Q386" s="44">
        <f ca="1">月次返済表!T388</f>
        <v>128276.22655460129</v>
      </c>
      <c r="R386" s="44">
        <f ca="1">月次返済表!H388</f>
        <v>0</v>
      </c>
      <c r="S386" s="44">
        <f ca="1">月次返済表!I388</f>
        <v>0</v>
      </c>
      <c r="T386" s="44">
        <f ca="1">月次返済表!R388</f>
        <v>150233.43899513123</v>
      </c>
      <c r="U386" s="44">
        <f ca="1">月次返済表!G388</f>
        <v>0</v>
      </c>
      <c r="V386" s="44"/>
      <c r="W386" s="44">
        <f t="shared" ca="1" si="8"/>
        <v>3.1606759876012802E-8</v>
      </c>
      <c r="X386" s="44">
        <f t="shared" ca="1" si="9"/>
        <v>150233.43899516284</v>
      </c>
    </row>
    <row r="387" spans="15:24">
      <c r="O387" s="43" t="str">
        <f>TEXT((月次返済表!A389-1)/12,"0.0")</f>
        <v>31.9</v>
      </c>
      <c r="P387" s="44">
        <f ca="1">月次返済表!S389</f>
        <v>21422.728163219101</v>
      </c>
      <c r="Q387" s="44">
        <f ca="1">月次返済表!T389</f>
        <v>128810.71083191213</v>
      </c>
      <c r="R387" s="44">
        <f ca="1">月次返済表!H389</f>
        <v>0</v>
      </c>
      <c r="S387" s="44">
        <f ca="1">月次返済表!I389</f>
        <v>0</v>
      </c>
      <c r="T387" s="44">
        <f ca="1">月次返済表!R389</f>
        <v>150233.43899513123</v>
      </c>
      <c r="U387" s="44">
        <f ca="1">月次返済表!G389</f>
        <v>0</v>
      </c>
      <c r="V387" s="44"/>
      <c r="W387" s="44">
        <f t="shared" ca="1" si="8"/>
        <v>3.1606759876012802E-8</v>
      </c>
      <c r="X387" s="44">
        <f t="shared" ca="1" si="9"/>
        <v>150233.43899516284</v>
      </c>
    </row>
    <row r="388" spans="15:24">
      <c r="O388" s="43" t="str">
        <f>TEXT((月次返済表!A390-1)/12,"0.0")</f>
        <v>32.0</v>
      </c>
      <c r="P388" s="44">
        <f ca="1">月次返済表!S390</f>
        <v>20886.016868086135</v>
      </c>
      <c r="Q388" s="44">
        <f ca="1">月次返済表!T390</f>
        <v>129347.42212704509</v>
      </c>
      <c r="R388" s="44">
        <f ca="1">月次返済表!H390</f>
        <v>0</v>
      </c>
      <c r="S388" s="44">
        <f ca="1">月次返済表!I390</f>
        <v>0</v>
      </c>
      <c r="T388" s="44">
        <f ca="1">月次返済表!R390</f>
        <v>150233.43899513123</v>
      </c>
      <c r="U388" s="44">
        <f ca="1">月次返済表!G390</f>
        <v>0</v>
      </c>
      <c r="V388" s="44"/>
      <c r="W388" s="44">
        <f t="shared" ref="W388:W451" ca="1" si="10">$V$6-T388</f>
        <v>3.1606759876012802E-8</v>
      </c>
      <c r="X388" s="44">
        <f t="shared" ref="X388:X451" ca="1" si="11">$V$6-U388</f>
        <v>150233.43899516284</v>
      </c>
    </row>
    <row r="389" spans="15:24">
      <c r="O389" s="43" t="str">
        <f>TEXT((月次返済表!A391-1)/12,"0.0")</f>
        <v>32.1</v>
      </c>
      <c r="P389" s="44">
        <f ca="1">月次返済表!S391</f>
        <v>20347.069275890113</v>
      </c>
      <c r="Q389" s="44">
        <f ca="1">月次返済表!T391</f>
        <v>129886.36971924112</v>
      </c>
      <c r="R389" s="44">
        <f ca="1">月次返済表!H391</f>
        <v>0</v>
      </c>
      <c r="S389" s="44">
        <f ca="1">月次返済表!I391</f>
        <v>0</v>
      </c>
      <c r="T389" s="44">
        <f ca="1">月次返済表!R391</f>
        <v>150233.43899513123</v>
      </c>
      <c r="U389" s="44">
        <f ca="1">月次返済表!G391</f>
        <v>0</v>
      </c>
      <c r="V389" s="44"/>
      <c r="W389" s="44">
        <f t="shared" ca="1" si="10"/>
        <v>3.1606759876012802E-8</v>
      </c>
      <c r="X389" s="44">
        <f t="shared" ca="1" si="11"/>
        <v>150233.43899516284</v>
      </c>
    </row>
    <row r="390" spans="15:24">
      <c r="O390" s="43" t="str">
        <f>TEXT((月次返済表!A392-1)/12,"0.0")</f>
        <v>32.2</v>
      </c>
      <c r="P390" s="44">
        <f ca="1">月次返済表!S392</f>
        <v>19805.876068726608</v>
      </c>
      <c r="Q390" s="44">
        <f ca="1">月次返済表!T392</f>
        <v>130427.56292640463</v>
      </c>
      <c r="R390" s="44">
        <f ca="1">月次返済表!H392</f>
        <v>0</v>
      </c>
      <c r="S390" s="44">
        <f ca="1">月次返済表!I392</f>
        <v>0</v>
      </c>
      <c r="T390" s="44">
        <f ca="1">月次返済表!R392</f>
        <v>150233.43899513123</v>
      </c>
      <c r="U390" s="44">
        <f ca="1">月次返済表!G392</f>
        <v>0</v>
      </c>
      <c r="V390" s="44"/>
      <c r="W390" s="44">
        <f t="shared" ca="1" si="10"/>
        <v>3.1606759876012802E-8</v>
      </c>
      <c r="X390" s="44">
        <f t="shared" ca="1" si="11"/>
        <v>150233.43899516284</v>
      </c>
    </row>
    <row r="391" spans="15:24">
      <c r="O391" s="43" t="str">
        <f>TEXT((月次返済表!A393-1)/12,"0.0")</f>
        <v>32.3</v>
      </c>
      <c r="P391" s="44">
        <f ca="1">月次返済表!S393</f>
        <v>19262.427889866591</v>
      </c>
      <c r="Q391" s="44">
        <f ca="1">月次返済表!T393</f>
        <v>130971.01110526464</v>
      </c>
      <c r="R391" s="44">
        <f ca="1">月次返済表!H393</f>
        <v>0</v>
      </c>
      <c r="S391" s="44">
        <f ca="1">月次返済表!I393</f>
        <v>0</v>
      </c>
      <c r="T391" s="44">
        <f ca="1">月次返済表!R393</f>
        <v>150233.43899513123</v>
      </c>
      <c r="U391" s="44">
        <f ca="1">月次返済表!G393</f>
        <v>0</v>
      </c>
      <c r="V391" s="44"/>
      <c r="W391" s="44">
        <f t="shared" ca="1" si="10"/>
        <v>3.1606759876012802E-8</v>
      </c>
      <c r="X391" s="44">
        <f t="shared" ca="1" si="11"/>
        <v>150233.43899516284</v>
      </c>
    </row>
    <row r="392" spans="15:24">
      <c r="O392" s="43" t="str">
        <f>TEXT((月次返済表!A394-1)/12,"0.0")</f>
        <v>32.3</v>
      </c>
      <c r="P392" s="44">
        <f ca="1">月次返済表!S394</f>
        <v>18716.715343594657</v>
      </c>
      <c r="Q392" s="44">
        <f ca="1">月次返済表!T394</f>
        <v>131516.72365153657</v>
      </c>
      <c r="R392" s="44">
        <f ca="1">月次返済表!H394</f>
        <v>0</v>
      </c>
      <c r="S392" s="44">
        <f ca="1">月次返済表!I394</f>
        <v>0</v>
      </c>
      <c r="T392" s="44">
        <f ca="1">月次返済表!R394</f>
        <v>150233.43899513123</v>
      </c>
      <c r="U392" s="44">
        <f ca="1">月次返済表!G394</f>
        <v>0</v>
      </c>
      <c r="V392" s="44"/>
      <c r="W392" s="44">
        <f t="shared" ca="1" si="10"/>
        <v>3.1606759876012802E-8</v>
      </c>
      <c r="X392" s="44">
        <f t="shared" ca="1" si="11"/>
        <v>150233.43899516284</v>
      </c>
    </row>
    <row r="393" spans="15:24">
      <c r="O393" s="43" t="str">
        <f>TEXT((月次返済表!A395-1)/12,"0.0")</f>
        <v>32.4</v>
      </c>
      <c r="P393" s="44">
        <f ca="1">月次返済表!S395</f>
        <v>18168.728995046589</v>
      </c>
      <c r="Q393" s="44">
        <f ca="1">月次返済表!T395</f>
        <v>132064.71000008465</v>
      </c>
      <c r="R393" s="44">
        <f ca="1">月次返済表!H395</f>
        <v>0</v>
      </c>
      <c r="S393" s="44">
        <f ca="1">月次返済表!I395</f>
        <v>0</v>
      </c>
      <c r="T393" s="44">
        <f ca="1">月次返済表!R395</f>
        <v>150233.43899513123</v>
      </c>
      <c r="U393" s="44">
        <f ca="1">月次返済表!G395</f>
        <v>0</v>
      </c>
      <c r="V393" s="44"/>
      <c r="W393" s="44">
        <f t="shared" ca="1" si="10"/>
        <v>3.1606759876012802E-8</v>
      </c>
      <c r="X393" s="44">
        <f t="shared" ca="1" si="11"/>
        <v>150233.43899516284</v>
      </c>
    </row>
    <row r="394" spans="15:24">
      <c r="O394" s="43" t="str">
        <f>TEXT((月次返済表!A396-1)/12,"0.0")</f>
        <v>32.5</v>
      </c>
      <c r="P394" s="44">
        <f ca="1">月次返済表!S396</f>
        <v>17618.459370046232</v>
      </c>
      <c r="Q394" s="44">
        <f ca="1">月次返済表!T396</f>
        <v>132614.97962508499</v>
      </c>
      <c r="R394" s="44">
        <f ca="1">月次返済表!H396</f>
        <v>0</v>
      </c>
      <c r="S394" s="44">
        <f ca="1">月次返済表!I396</f>
        <v>0</v>
      </c>
      <c r="T394" s="44">
        <f ca="1">月次返済表!R396</f>
        <v>150233.43899513123</v>
      </c>
      <c r="U394" s="44">
        <f ca="1">月次返済表!G396</f>
        <v>0</v>
      </c>
      <c r="V394" s="44"/>
      <c r="W394" s="44">
        <f t="shared" ca="1" si="10"/>
        <v>3.1606759876012802E-8</v>
      </c>
      <c r="X394" s="44">
        <f t="shared" ca="1" si="11"/>
        <v>150233.43899516284</v>
      </c>
    </row>
    <row r="395" spans="15:24">
      <c r="O395" s="43" t="str">
        <f>TEXT((月次返済表!A397-1)/12,"0.0")</f>
        <v>32.6</v>
      </c>
      <c r="P395" s="44">
        <f ca="1">月次返済表!S397</f>
        <v>17065.896954941712</v>
      </c>
      <c r="Q395" s="44">
        <f ca="1">月次返済表!T397</f>
        <v>133167.54204018952</v>
      </c>
      <c r="R395" s="44">
        <f ca="1">月次返済表!H397</f>
        <v>0</v>
      </c>
      <c r="S395" s="44">
        <f ca="1">月次返済表!I397</f>
        <v>0</v>
      </c>
      <c r="T395" s="44">
        <f ca="1">月次返済表!R397</f>
        <v>150233.43899513123</v>
      </c>
      <c r="U395" s="44">
        <f ca="1">月次返済表!G397</f>
        <v>0</v>
      </c>
      <c r="V395" s="44"/>
      <c r="W395" s="44">
        <f t="shared" ca="1" si="10"/>
        <v>3.1606759876012802E-8</v>
      </c>
      <c r="X395" s="44">
        <f t="shared" ca="1" si="11"/>
        <v>150233.43899516284</v>
      </c>
    </row>
    <row r="396" spans="15:24">
      <c r="O396" s="43" t="str">
        <f>TEXT((月次返済表!A398-1)/12,"0.0")</f>
        <v>32.7</v>
      </c>
      <c r="P396" s="44">
        <f ca="1">月次返済表!S398</f>
        <v>16511.032196440923</v>
      </c>
      <c r="Q396" s="44">
        <f ca="1">月次返済表!T398</f>
        <v>133722.40679869032</v>
      </c>
      <c r="R396" s="44">
        <f ca="1">月次返済表!H398</f>
        <v>0</v>
      </c>
      <c r="S396" s="44">
        <f ca="1">月次返済表!I398</f>
        <v>0</v>
      </c>
      <c r="T396" s="44">
        <f ca="1">月次返済表!R398</f>
        <v>150233.43899513123</v>
      </c>
      <c r="U396" s="44">
        <f ca="1">月次返済表!G398</f>
        <v>0</v>
      </c>
      <c r="V396" s="44"/>
      <c r="W396" s="44">
        <f t="shared" ca="1" si="10"/>
        <v>3.1606759876012802E-8</v>
      </c>
      <c r="X396" s="44">
        <f t="shared" ca="1" si="11"/>
        <v>150233.43899516284</v>
      </c>
    </row>
    <row r="397" spans="15:24">
      <c r="O397" s="43" t="str">
        <f>TEXT((月次返済表!A399-1)/12,"0.0")</f>
        <v>32.8</v>
      </c>
      <c r="P397" s="44">
        <f ca="1">月次返済表!S399</f>
        <v>15953.85550144638</v>
      </c>
      <c r="Q397" s="44">
        <f ca="1">月次返済表!T399</f>
        <v>134279.58349368486</v>
      </c>
      <c r="R397" s="44">
        <f ca="1">月次返済表!H399</f>
        <v>0</v>
      </c>
      <c r="S397" s="44">
        <f ca="1">月次返済表!I399</f>
        <v>0</v>
      </c>
      <c r="T397" s="44">
        <f ca="1">月次返済表!R399</f>
        <v>150233.43899513123</v>
      </c>
      <c r="U397" s="44">
        <f ca="1">月次返済表!G399</f>
        <v>0</v>
      </c>
      <c r="V397" s="44"/>
      <c r="W397" s="44">
        <f t="shared" ca="1" si="10"/>
        <v>3.1606759876012802E-8</v>
      </c>
      <c r="X397" s="44">
        <f t="shared" ca="1" si="11"/>
        <v>150233.43899516284</v>
      </c>
    </row>
    <row r="398" spans="15:24">
      <c r="O398" s="43" t="str">
        <f>TEXT((月次返済表!A400-1)/12,"0.0")</f>
        <v>32.8</v>
      </c>
      <c r="P398" s="44">
        <f ca="1">月次返済表!S400</f>
        <v>15394.35723688936</v>
      </c>
      <c r="Q398" s="44">
        <f ca="1">月次返済表!T400</f>
        <v>134839.08175824187</v>
      </c>
      <c r="R398" s="44">
        <f ca="1">月次返済表!H400</f>
        <v>0</v>
      </c>
      <c r="S398" s="44">
        <f ca="1">月次返済表!I400</f>
        <v>0</v>
      </c>
      <c r="T398" s="44">
        <f ca="1">月次返済表!R400</f>
        <v>150233.43899513123</v>
      </c>
      <c r="U398" s="44">
        <f ca="1">月次返済表!G400</f>
        <v>0</v>
      </c>
      <c r="V398" s="44"/>
      <c r="W398" s="44">
        <f t="shared" ca="1" si="10"/>
        <v>3.1606759876012802E-8</v>
      </c>
      <c r="X398" s="44">
        <f t="shared" ca="1" si="11"/>
        <v>150233.43899516284</v>
      </c>
    </row>
    <row r="399" spans="15:24">
      <c r="O399" s="43" t="str">
        <f>TEXT((月次返済表!A401-1)/12,"0.0")</f>
        <v>32.9</v>
      </c>
      <c r="P399" s="44">
        <f ca="1">月次返済表!S401</f>
        <v>14832.527729563355</v>
      </c>
      <c r="Q399" s="44">
        <f ca="1">月次返済表!T401</f>
        <v>135400.91126556788</v>
      </c>
      <c r="R399" s="44">
        <f ca="1">月次返済表!H401</f>
        <v>0</v>
      </c>
      <c r="S399" s="44">
        <f ca="1">月次返済表!I401</f>
        <v>0</v>
      </c>
      <c r="T399" s="44">
        <f ca="1">月次返済表!R401</f>
        <v>150233.43899513123</v>
      </c>
      <c r="U399" s="44">
        <f ca="1">月次返済表!G401</f>
        <v>0</v>
      </c>
      <c r="V399" s="44"/>
      <c r="W399" s="44">
        <f t="shared" ca="1" si="10"/>
        <v>3.1606759876012802E-8</v>
      </c>
      <c r="X399" s="44">
        <f t="shared" ca="1" si="11"/>
        <v>150233.43899516284</v>
      </c>
    </row>
    <row r="400" spans="15:24">
      <c r="O400" s="43" t="str">
        <f>TEXT((月次返済表!A402-1)/12,"0.0")</f>
        <v>33.0</v>
      </c>
      <c r="P400" s="44">
        <f ca="1">月次返済表!S402</f>
        <v>14268.357265956822</v>
      </c>
      <c r="Q400" s="44">
        <f ca="1">月次返済表!T402</f>
        <v>135965.08172917442</v>
      </c>
      <c r="R400" s="44">
        <f ca="1">月次返済表!H402</f>
        <v>0</v>
      </c>
      <c r="S400" s="44">
        <f ca="1">月次返済表!I402</f>
        <v>0</v>
      </c>
      <c r="T400" s="44">
        <f ca="1">月次返済表!R402</f>
        <v>150233.43899513123</v>
      </c>
      <c r="U400" s="44">
        <f ca="1">月次返済表!G402</f>
        <v>0</v>
      </c>
      <c r="V400" s="44"/>
      <c r="W400" s="44">
        <f t="shared" ca="1" si="10"/>
        <v>3.1606759876012802E-8</v>
      </c>
      <c r="X400" s="44">
        <f t="shared" ca="1" si="11"/>
        <v>150233.43899516284</v>
      </c>
    </row>
    <row r="401" spans="15:24">
      <c r="O401" s="43" t="str">
        <f>TEXT((月次返済表!A403-1)/12,"0.0")</f>
        <v>33.1</v>
      </c>
      <c r="P401" s="44">
        <f ca="1">月次返済表!S403</f>
        <v>13701.836092085259</v>
      </c>
      <c r="Q401" s="44">
        <f ca="1">月次返済表!T403</f>
        <v>136531.60290304598</v>
      </c>
      <c r="R401" s="44">
        <f ca="1">月次返済表!H403</f>
        <v>0</v>
      </c>
      <c r="S401" s="44">
        <f ca="1">月次返済表!I403</f>
        <v>0</v>
      </c>
      <c r="T401" s="44">
        <f ca="1">月次返済表!R403</f>
        <v>150233.43899513123</v>
      </c>
      <c r="U401" s="44">
        <f ca="1">月次返済表!G403</f>
        <v>0</v>
      </c>
      <c r="V401" s="44"/>
      <c r="W401" s="44">
        <f t="shared" ca="1" si="10"/>
        <v>3.1606759876012802E-8</v>
      </c>
      <c r="X401" s="44">
        <f t="shared" ca="1" si="11"/>
        <v>150233.43899516284</v>
      </c>
    </row>
    <row r="402" spans="15:24">
      <c r="O402" s="43" t="str">
        <f>TEXT((月次返済表!A404-1)/12,"0.0")</f>
        <v>33.2</v>
      </c>
      <c r="P402" s="44">
        <f ca="1">月次返済表!S404</f>
        <v>13132.954413322566</v>
      </c>
      <c r="Q402" s="44">
        <f ca="1">月次返済表!T404</f>
        <v>137100.48458180868</v>
      </c>
      <c r="R402" s="44">
        <f ca="1">月次返済表!H404</f>
        <v>0</v>
      </c>
      <c r="S402" s="44">
        <f ca="1">月次返済表!I404</f>
        <v>0</v>
      </c>
      <c r="T402" s="44">
        <f ca="1">月次返済表!R404</f>
        <v>150233.43899513123</v>
      </c>
      <c r="U402" s="44">
        <f ca="1">月次返済表!G404</f>
        <v>0</v>
      </c>
      <c r="V402" s="44"/>
      <c r="W402" s="44">
        <f t="shared" ca="1" si="10"/>
        <v>3.1606759876012802E-8</v>
      </c>
      <c r="X402" s="44">
        <f t="shared" ca="1" si="11"/>
        <v>150233.43899516284</v>
      </c>
    </row>
    <row r="403" spans="15:24">
      <c r="O403" s="43" t="str">
        <f>TEXT((月次返済表!A405-1)/12,"0.0")</f>
        <v>33.3</v>
      </c>
      <c r="P403" s="44">
        <f ca="1">月次返済表!S405</f>
        <v>12561.702394231697</v>
      </c>
      <c r="Q403" s="44">
        <f ca="1">月次返済表!T405</f>
        <v>137671.73660089955</v>
      </c>
      <c r="R403" s="44">
        <f ca="1">月次返済表!H405</f>
        <v>0</v>
      </c>
      <c r="S403" s="44">
        <f ca="1">月次返済表!I405</f>
        <v>0</v>
      </c>
      <c r="T403" s="44">
        <f ca="1">月次返済表!R405</f>
        <v>150233.43899513123</v>
      </c>
      <c r="U403" s="44">
        <f ca="1">月次返済表!G405</f>
        <v>0</v>
      </c>
      <c r="V403" s="44"/>
      <c r="W403" s="44">
        <f t="shared" ca="1" si="10"/>
        <v>3.1606759876012802E-8</v>
      </c>
      <c r="X403" s="44">
        <f t="shared" ca="1" si="11"/>
        <v>150233.43899516284</v>
      </c>
    </row>
    <row r="404" spans="15:24">
      <c r="O404" s="43" t="str">
        <f>TEXT((月次返済表!A406-1)/12,"0.0")</f>
        <v>33.3</v>
      </c>
      <c r="P404" s="44">
        <f ca="1">月次返済表!S406</f>
        <v>11988.070158394616</v>
      </c>
      <c r="Q404" s="44">
        <f ca="1">月次返済表!T406</f>
        <v>138245.36883673663</v>
      </c>
      <c r="R404" s="44">
        <f ca="1">月次返済表!H406</f>
        <v>0</v>
      </c>
      <c r="S404" s="44">
        <f ca="1">月次返済表!I406</f>
        <v>0</v>
      </c>
      <c r="T404" s="44">
        <f ca="1">月次返済表!R406</f>
        <v>150233.43899513123</v>
      </c>
      <c r="U404" s="44">
        <f ca="1">月次返済表!G406</f>
        <v>0</v>
      </c>
      <c r="V404" s="44"/>
      <c r="W404" s="44">
        <f t="shared" ca="1" si="10"/>
        <v>3.1606759876012802E-8</v>
      </c>
      <c r="X404" s="44">
        <f t="shared" ca="1" si="11"/>
        <v>150233.43899516284</v>
      </c>
    </row>
    <row r="405" spans="15:24">
      <c r="O405" s="43" t="str">
        <f>TEXT((月次返済表!A407-1)/12,"0.0")</f>
        <v>33.4</v>
      </c>
      <c r="P405" s="44">
        <f ca="1">月次返済表!S407</f>
        <v>11412.047788241545</v>
      </c>
      <c r="Q405" s="44">
        <f ca="1">月次返済表!T407</f>
        <v>138821.39120688968</v>
      </c>
      <c r="R405" s="44">
        <f ca="1">月次返済表!H407</f>
        <v>0</v>
      </c>
      <c r="S405" s="44">
        <f ca="1">月次返済表!I407</f>
        <v>0</v>
      </c>
      <c r="T405" s="44">
        <f ca="1">月次返済表!R407</f>
        <v>150233.43899513123</v>
      </c>
      <c r="U405" s="44">
        <f ca="1">月次返済表!G407</f>
        <v>0</v>
      </c>
      <c r="V405" s="44"/>
      <c r="W405" s="44">
        <f t="shared" ca="1" si="10"/>
        <v>3.1606759876012802E-8</v>
      </c>
      <c r="X405" s="44">
        <f t="shared" ca="1" si="11"/>
        <v>150233.43899516284</v>
      </c>
    </row>
    <row r="406" spans="15:24">
      <c r="O406" s="43" t="str">
        <f>TEXT((月次返済表!A408-1)/12,"0.0")</f>
        <v>33.5</v>
      </c>
      <c r="P406" s="44">
        <f ca="1">月次返済表!S408</f>
        <v>10833.625324879506</v>
      </c>
      <c r="Q406" s="44">
        <f ca="1">月次返済表!T408</f>
        <v>139399.81367025172</v>
      </c>
      <c r="R406" s="44">
        <f ca="1">月次返済表!H408</f>
        <v>0</v>
      </c>
      <c r="S406" s="44">
        <f ca="1">月次返済表!I408</f>
        <v>0</v>
      </c>
      <c r="T406" s="44">
        <f ca="1">月次返済表!R408</f>
        <v>150233.43899513123</v>
      </c>
      <c r="U406" s="44">
        <f ca="1">月次返済表!G408</f>
        <v>0</v>
      </c>
      <c r="V406" s="44"/>
      <c r="W406" s="44">
        <f t="shared" ca="1" si="10"/>
        <v>3.1606759876012802E-8</v>
      </c>
      <c r="X406" s="44">
        <f t="shared" ca="1" si="11"/>
        <v>150233.43899516284</v>
      </c>
    </row>
    <row r="407" spans="15:24">
      <c r="O407" s="43" t="str">
        <f>TEXT((月次返済表!A409-1)/12,"0.0")</f>
        <v>33.6</v>
      </c>
      <c r="P407" s="44">
        <f ca="1">月次返済表!S409</f>
        <v>10252.792767920124</v>
      </c>
      <c r="Q407" s="44">
        <f ca="1">月次返済表!T409</f>
        <v>139980.64622721111</v>
      </c>
      <c r="R407" s="44">
        <f ca="1">月次返済表!H409</f>
        <v>0</v>
      </c>
      <c r="S407" s="44">
        <f ca="1">月次返済表!I409</f>
        <v>0</v>
      </c>
      <c r="T407" s="44">
        <f ca="1">月次返済表!R409</f>
        <v>150233.43899513123</v>
      </c>
      <c r="U407" s="44">
        <f ca="1">月次返済表!G409</f>
        <v>0</v>
      </c>
      <c r="V407" s="44"/>
      <c r="W407" s="44">
        <f t="shared" ca="1" si="10"/>
        <v>3.1606759876012802E-8</v>
      </c>
      <c r="X407" s="44">
        <f t="shared" ca="1" si="11"/>
        <v>150233.43899516284</v>
      </c>
    </row>
    <row r="408" spans="15:24">
      <c r="O408" s="43" t="str">
        <f>TEXT((月次返済表!A410-1)/12,"0.0")</f>
        <v>33.7</v>
      </c>
      <c r="P408" s="44">
        <f ca="1">月次返済表!S410</f>
        <v>9669.5400753067443</v>
      </c>
      <c r="Q408" s="44">
        <f ca="1">月次返済表!T410</f>
        <v>140563.89891982448</v>
      </c>
      <c r="R408" s="44">
        <f ca="1">月次返済表!H410</f>
        <v>0</v>
      </c>
      <c r="S408" s="44">
        <f ca="1">月次返済表!I410</f>
        <v>0</v>
      </c>
      <c r="T408" s="44">
        <f ca="1">月次返済表!R410</f>
        <v>150233.43899513123</v>
      </c>
      <c r="U408" s="44">
        <f ca="1">月次返済表!G410</f>
        <v>0</v>
      </c>
      <c r="V408" s="44"/>
      <c r="W408" s="44">
        <f t="shared" ca="1" si="10"/>
        <v>3.1606759876012802E-8</v>
      </c>
      <c r="X408" s="44">
        <f t="shared" ca="1" si="11"/>
        <v>150233.43899516284</v>
      </c>
    </row>
    <row r="409" spans="15:24">
      <c r="O409" s="43" t="str">
        <f>TEXT((月次返済表!A411-1)/12,"0.0")</f>
        <v>33.8</v>
      </c>
      <c r="P409" s="44">
        <f ca="1">月次返済表!S411</f>
        <v>9083.8571631408086</v>
      </c>
      <c r="Q409" s="44">
        <f ca="1">月次返済表!T411</f>
        <v>141149.58183199042</v>
      </c>
      <c r="R409" s="44">
        <f ca="1">月次返済表!H411</f>
        <v>0</v>
      </c>
      <c r="S409" s="44">
        <f ca="1">月次返済表!I411</f>
        <v>0</v>
      </c>
      <c r="T409" s="44">
        <f ca="1">月次返済表!R411</f>
        <v>150233.43899513123</v>
      </c>
      <c r="U409" s="44">
        <f ca="1">月次返済表!G411</f>
        <v>0</v>
      </c>
      <c r="V409" s="44"/>
      <c r="W409" s="44">
        <f t="shared" ca="1" si="10"/>
        <v>3.1606759876012802E-8</v>
      </c>
      <c r="X409" s="44">
        <f t="shared" ca="1" si="11"/>
        <v>150233.43899516284</v>
      </c>
    </row>
    <row r="410" spans="15:24">
      <c r="O410" s="43" t="str">
        <f>TEXT((月次返済表!A412-1)/12,"0.0")</f>
        <v>33.8</v>
      </c>
      <c r="P410" s="44">
        <f ca="1">月次返済表!S412</f>
        <v>8495.7339055075154</v>
      </c>
      <c r="Q410" s="44">
        <f ca="1">月次返済表!T412</f>
        <v>141737.70508962372</v>
      </c>
      <c r="R410" s="44">
        <f ca="1">月次返済表!H412</f>
        <v>0</v>
      </c>
      <c r="S410" s="44">
        <f ca="1">月次返済表!I412</f>
        <v>0</v>
      </c>
      <c r="T410" s="44">
        <f ca="1">月次返済表!R412</f>
        <v>150233.43899513123</v>
      </c>
      <c r="U410" s="44">
        <f ca="1">月次返済表!G412</f>
        <v>0</v>
      </c>
      <c r="V410" s="44"/>
      <c r="W410" s="44">
        <f t="shared" ca="1" si="10"/>
        <v>3.1606759876012802E-8</v>
      </c>
      <c r="X410" s="44">
        <f t="shared" ca="1" si="11"/>
        <v>150233.43899516284</v>
      </c>
    </row>
    <row r="411" spans="15:24">
      <c r="O411" s="43" t="str">
        <f>TEXT((月次返済表!A413-1)/12,"0.0")</f>
        <v>33.9</v>
      </c>
      <c r="P411" s="44">
        <f ca="1">月次返済表!S413</f>
        <v>7905.1601343007496</v>
      </c>
      <c r="Q411" s="44">
        <f ca="1">月次返済表!T413</f>
        <v>142328.27886083047</v>
      </c>
      <c r="R411" s="44">
        <f ca="1">月次返済表!H413</f>
        <v>0</v>
      </c>
      <c r="S411" s="44">
        <f ca="1">月次返済表!I413</f>
        <v>0</v>
      </c>
      <c r="T411" s="44">
        <f ca="1">月次返済表!R413</f>
        <v>150233.43899513123</v>
      </c>
      <c r="U411" s="44">
        <f ca="1">月次返済表!G413</f>
        <v>0</v>
      </c>
      <c r="V411" s="44"/>
      <c r="W411" s="44">
        <f t="shared" ca="1" si="10"/>
        <v>3.1606759876012802E-8</v>
      </c>
      <c r="X411" s="44">
        <f t="shared" ca="1" si="11"/>
        <v>150233.43899516284</v>
      </c>
    </row>
    <row r="412" spans="15:24">
      <c r="O412" s="43" t="str">
        <f>TEXT((月次返済表!A414-1)/12,"0.0")</f>
        <v>34.0</v>
      </c>
      <c r="P412" s="44">
        <f ca="1">月次返済表!S414</f>
        <v>7312.125639047289</v>
      </c>
      <c r="Q412" s="44">
        <f ca="1">月次返済表!T414</f>
        <v>142921.31335608393</v>
      </c>
      <c r="R412" s="44">
        <f ca="1">月次返済表!H414</f>
        <v>0</v>
      </c>
      <c r="S412" s="44">
        <f ca="1">月次返済表!I414</f>
        <v>0</v>
      </c>
      <c r="T412" s="44">
        <f ca="1">月次返済表!R414</f>
        <v>150233.43899513123</v>
      </c>
      <c r="U412" s="44">
        <f ca="1">月次返済表!G414</f>
        <v>0</v>
      </c>
      <c r="V412" s="44"/>
      <c r="W412" s="44">
        <f t="shared" ca="1" si="10"/>
        <v>3.1606759876012802E-8</v>
      </c>
      <c r="X412" s="44">
        <f t="shared" ca="1" si="11"/>
        <v>150233.43899516284</v>
      </c>
    </row>
    <row r="413" spans="15:24">
      <c r="O413" s="43" t="str">
        <f>TEXT((月次返済表!A415-1)/12,"0.0")</f>
        <v>34.1</v>
      </c>
      <c r="P413" s="44">
        <f ca="1">月次返済表!S415</f>
        <v>6716.6201667302712</v>
      </c>
      <c r="Q413" s="44">
        <f ca="1">月次返済表!T415</f>
        <v>143516.81882840095</v>
      </c>
      <c r="R413" s="44">
        <f ca="1">月次返済表!H415</f>
        <v>0</v>
      </c>
      <c r="S413" s="44">
        <f ca="1">月次返済表!I415</f>
        <v>0</v>
      </c>
      <c r="T413" s="44">
        <f ca="1">月次返済表!R415</f>
        <v>150233.43899513123</v>
      </c>
      <c r="U413" s="44">
        <f ca="1">月次返済表!G415</f>
        <v>0</v>
      </c>
      <c r="V413" s="44"/>
      <c r="W413" s="44">
        <f t="shared" ca="1" si="10"/>
        <v>3.1606759876012802E-8</v>
      </c>
      <c r="X413" s="44">
        <f t="shared" ca="1" si="11"/>
        <v>150233.43899516284</v>
      </c>
    </row>
    <row r="414" spans="15:24">
      <c r="O414" s="43" t="str">
        <f>TEXT((月次返済表!A416-1)/12,"0.0")</f>
        <v>34.2</v>
      </c>
      <c r="P414" s="44">
        <f ca="1">月次返済表!S416</f>
        <v>6118.6334216119349</v>
      </c>
      <c r="Q414" s="44">
        <f ca="1">月次返済表!T416</f>
        <v>144114.80557351929</v>
      </c>
      <c r="R414" s="44">
        <f ca="1">月次返済表!H416</f>
        <v>0</v>
      </c>
      <c r="S414" s="44">
        <f ca="1">月次返済表!I416</f>
        <v>0</v>
      </c>
      <c r="T414" s="44">
        <f ca="1">月次返済表!R416</f>
        <v>150233.43899513123</v>
      </c>
      <c r="U414" s="44">
        <f ca="1">月次返済表!G416</f>
        <v>0</v>
      </c>
      <c r="V414" s="44"/>
      <c r="W414" s="44">
        <f t="shared" ca="1" si="10"/>
        <v>3.1606759876012802E-8</v>
      </c>
      <c r="X414" s="44">
        <f t="shared" ca="1" si="11"/>
        <v>150233.43899516284</v>
      </c>
    </row>
    <row r="415" spans="15:24">
      <c r="O415" s="43" t="str">
        <f>TEXT((月次返済表!A417-1)/12,"0.0")</f>
        <v>34.3</v>
      </c>
      <c r="P415" s="44">
        <f ca="1">月次返済表!S417</f>
        <v>5518.1550650556046</v>
      </c>
      <c r="Q415" s="44">
        <f ca="1">月次返済表!T417</f>
        <v>144715.28393007562</v>
      </c>
      <c r="R415" s="44">
        <f ca="1">月次返済表!H417</f>
        <v>0</v>
      </c>
      <c r="S415" s="44">
        <f ca="1">月次返済表!I417</f>
        <v>0</v>
      </c>
      <c r="T415" s="44">
        <f ca="1">月次返済表!R417</f>
        <v>150233.43899513123</v>
      </c>
      <c r="U415" s="44">
        <f ca="1">月次返済表!G417</f>
        <v>0</v>
      </c>
      <c r="V415" s="44"/>
      <c r="W415" s="44">
        <f t="shared" ca="1" si="10"/>
        <v>3.1606759876012802E-8</v>
      </c>
      <c r="X415" s="44">
        <f t="shared" ca="1" si="11"/>
        <v>150233.43899516284</v>
      </c>
    </row>
    <row r="416" spans="15:24">
      <c r="O416" s="43" t="str">
        <f>TEXT((月次返済表!A418-1)/12,"0.0")</f>
        <v>34.3</v>
      </c>
      <c r="P416" s="44">
        <f ca="1">月次返済表!S418</f>
        <v>4915.174715346956</v>
      </c>
      <c r="Q416" s="44">
        <f ca="1">月次返済表!T418</f>
        <v>145318.26427978429</v>
      </c>
      <c r="R416" s="44">
        <f ca="1">月次返済表!H418</f>
        <v>0</v>
      </c>
      <c r="S416" s="44">
        <f ca="1">月次返済表!I418</f>
        <v>0</v>
      </c>
      <c r="T416" s="44">
        <f ca="1">月次返済表!R418</f>
        <v>150233.43899513123</v>
      </c>
      <c r="U416" s="44">
        <f ca="1">月次返済表!G418</f>
        <v>0</v>
      </c>
      <c r="V416" s="44"/>
      <c r="W416" s="44">
        <f t="shared" ca="1" si="10"/>
        <v>3.1606759876012802E-8</v>
      </c>
      <c r="X416" s="44">
        <f t="shared" ca="1" si="11"/>
        <v>150233.43899516284</v>
      </c>
    </row>
    <row r="417" spans="15:24">
      <c r="O417" s="43" t="str">
        <f>TEXT((月次返済表!A419-1)/12,"0.0")</f>
        <v>34.4</v>
      </c>
      <c r="P417" s="44">
        <f ca="1">月次返済表!S419</f>
        <v>4309.6819475145212</v>
      </c>
      <c r="Q417" s="44">
        <f ca="1">月次返済表!T419</f>
        <v>145923.7570476167</v>
      </c>
      <c r="R417" s="44">
        <f ca="1">月次返済表!H419</f>
        <v>0</v>
      </c>
      <c r="S417" s="44">
        <f ca="1">月次返済表!I419</f>
        <v>0</v>
      </c>
      <c r="T417" s="44">
        <f ca="1">月次返済表!R419</f>
        <v>150233.43899513123</v>
      </c>
      <c r="U417" s="44">
        <f ca="1">月次返済表!G419</f>
        <v>0</v>
      </c>
      <c r="V417" s="44"/>
      <c r="W417" s="44">
        <f t="shared" ca="1" si="10"/>
        <v>3.1606759876012802E-8</v>
      </c>
      <c r="X417" s="44">
        <f t="shared" ca="1" si="11"/>
        <v>150233.43899516284</v>
      </c>
    </row>
    <row r="418" spans="15:24">
      <c r="O418" s="43" t="str">
        <f>TEXT((月次返済表!A420-1)/12,"0.0")</f>
        <v>34.5</v>
      </c>
      <c r="P418" s="44">
        <f ca="1">月次返済表!S420</f>
        <v>3701.6662931494516</v>
      </c>
      <c r="Q418" s="44">
        <f ca="1">月次返済表!T420</f>
        <v>146531.77270198177</v>
      </c>
      <c r="R418" s="44">
        <f ca="1">月次返済表!H420</f>
        <v>0</v>
      </c>
      <c r="S418" s="44">
        <f ca="1">月次返済表!I420</f>
        <v>0</v>
      </c>
      <c r="T418" s="44">
        <f ca="1">月次返済表!R420</f>
        <v>150233.43899513123</v>
      </c>
      <c r="U418" s="44">
        <f ca="1">月次返済表!G420</f>
        <v>0</v>
      </c>
      <c r="V418" s="44"/>
      <c r="W418" s="44">
        <f t="shared" ca="1" si="10"/>
        <v>3.1606759876012802E-8</v>
      </c>
      <c r="X418" s="44">
        <f t="shared" ca="1" si="11"/>
        <v>150233.43899516284</v>
      </c>
    </row>
    <row r="419" spans="15:24">
      <c r="O419" s="43" t="str">
        <f>TEXT((月次返済表!A421-1)/12,"0.0")</f>
        <v>34.6</v>
      </c>
      <c r="P419" s="44">
        <f ca="1">月次返済表!S421</f>
        <v>3091.1172402245279</v>
      </c>
      <c r="Q419" s="44">
        <f ca="1">月次返済表!T421</f>
        <v>147142.3217549067</v>
      </c>
      <c r="R419" s="44">
        <f ca="1">月次返済表!H421</f>
        <v>0</v>
      </c>
      <c r="S419" s="44">
        <f ca="1">月次返済表!I421</f>
        <v>0</v>
      </c>
      <c r="T419" s="44">
        <f ca="1">月次返済表!R421</f>
        <v>150233.43899513123</v>
      </c>
      <c r="U419" s="44">
        <f ca="1">月次返済表!G421</f>
        <v>0</v>
      </c>
      <c r="V419" s="44"/>
      <c r="W419" s="44">
        <f t="shared" ca="1" si="10"/>
        <v>3.1606759876012802E-8</v>
      </c>
      <c r="X419" s="44">
        <f t="shared" ca="1" si="11"/>
        <v>150233.43899516284</v>
      </c>
    </row>
    <row r="420" spans="15:24">
      <c r="O420" s="43" t="str">
        <f>TEXT((月次返済表!A422-1)/12,"0.0")</f>
        <v>34.7</v>
      </c>
      <c r="P420" s="44">
        <f ca="1">月次返済表!S422</f>
        <v>2478.0242329124162</v>
      </c>
      <c r="Q420" s="44">
        <f ca="1">月次返済表!T422</f>
        <v>147755.4147622188</v>
      </c>
      <c r="R420" s="44">
        <f ca="1">月次返済表!H422</f>
        <v>0</v>
      </c>
      <c r="S420" s="44">
        <f ca="1">月次返済表!I422</f>
        <v>0</v>
      </c>
      <c r="T420" s="44">
        <f ca="1">月次返済表!R422</f>
        <v>150233.43899513123</v>
      </c>
      <c r="U420" s="44">
        <f ca="1">月次返済表!G422</f>
        <v>0</v>
      </c>
      <c r="V420" s="44"/>
      <c r="W420" s="44">
        <f t="shared" ca="1" si="10"/>
        <v>3.1606759876012802E-8</v>
      </c>
      <c r="X420" s="44">
        <f t="shared" ca="1" si="11"/>
        <v>150233.43899516284</v>
      </c>
    </row>
    <row r="421" spans="15:24">
      <c r="O421" s="43" t="str">
        <f>TEXT((月次返済表!A423-1)/12,"0.0")</f>
        <v>34.8</v>
      </c>
      <c r="P421" s="44">
        <f ca="1">月次返済表!S423</f>
        <v>1862.376671403171</v>
      </c>
      <c r="Q421" s="44">
        <f ca="1">月次返済表!T423</f>
        <v>148371.06232372805</v>
      </c>
      <c r="R421" s="44">
        <f ca="1">月次返済表!H423</f>
        <v>0</v>
      </c>
      <c r="S421" s="44">
        <f ca="1">月次返済表!I423</f>
        <v>0</v>
      </c>
      <c r="T421" s="44">
        <f ca="1">月次返済表!R423</f>
        <v>150233.43899513123</v>
      </c>
      <c r="U421" s="44">
        <f ca="1">月次返済表!G423</f>
        <v>0</v>
      </c>
      <c r="V421" s="44"/>
      <c r="W421" s="44">
        <f t="shared" ca="1" si="10"/>
        <v>3.1606759876012802E-8</v>
      </c>
      <c r="X421" s="44">
        <f t="shared" ca="1" si="11"/>
        <v>150233.43899516284</v>
      </c>
    </row>
    <row r="422" spans="15:24">
      <c r="O422" s="43" t="str">
        <f>TEXT((月次返済表!A424-1)/12,"0.0")</f>
        <v>34.8</v>
      </c>
      <c r="P422" s="44">
        <f ca="1">月次返済表!S424</f>
        <v>1244.1639117209709</v>
      </c>
      <c r="Q422" s="44">
        <f ca="1">月次返済表!T424</f>
        <v>148989.27508341026</v>
      </c>
      <c r="R422" s="44">
        <f ca="1">月次返済表!H424</f>
        <v>0</v>
      </c>
      <c r="S422" s="44">
        <f ca="1">月次返済表!I424</f>
        <v>0</v>
      </c>
      <c r="T422" s="44">
        <f ca="1">月次返済表!R424</f>
        <v>150233.43899513123</v>
      </c>
      <c r="U422" s="44">
        <f ca="1">月次返済表!G424</f>
        <v>0</v>
      </c>
      <c r="V422" s="44"/>
      <c r="W422" s="44">
        <f t="shared" ca="1" si="10"/>
        <v>3.1606759876012802E-8</v>
      </c>
      <c r="X422" s="44">
        <f t="shared" ca="1" si="11"/>
        <v>150233.43899516284</v>
      </c>
    </row>
    <row r="423" spans="15:24">
      <c r="O423" s="43" t="str">
        <f>TEXT((月次返済表!A425-1)/12,"0.0")</f>
        <v>34.9</v>
      </c>
      <c r="P423" s="44">
        <f ca="1">月次返済表!S425</f>
        <v>623.3752655400948</v>
      </c>
      <c r="Q423" s="44">
        <f ca="1">月次返済表!T425</f>
        <v>149610.06372962275</v>
      </c>
      <c r="R423" s="44">
        <f ca="1">月次返済表!H425</f>
        <v>0</v>
      </c>
      <c r="S423" s="44">
        <f ca="1">月次返済表!I425</f>
        <v>0</v>
      </c>
      <c r="T423" s="44">
        <f ca="1">月次返済表!R425</f>
        <v>150233.43899516284</v>
      </c>
      <c r="U423" s="44">
        <f ca="1">月次返済表!G425</f>
        <v>0</v>
      </c>
      <c r="V423" s="44"/>
      <c r="W423" s="44">
        <f t="shared" ca="1" si="10"/>
        <v>0</v>
      </c>
      <c r="X423" s="44">
        <f t="shared" ca="1" si="11"/>
        <v>150233.43899516284</v>
      </c>
    </row>
    <row r="424" spans="15:24">
      <c r="O424" s="43" t="str">
        <f>TEXT((月次返済表!A426-1)/12,"0.0")</f>
        <v>35.0</v>
      </c>
      <c r="P424" s="44">
        <f ca="1">月次返済表!S426</f>
        <v>0</v>
      </c>
      <c r="Q424" s="44">
        <f ca="1">月次返済表!T426</f>
        <v>0</v>
      </c>
      <c r="R424" s="44">
        <f ca="1">月次返済表!H426</f>
        <v>0</v>
      </c>
      <c r="S424" s="44">
        <f ca="1">月次返済表!I426</f>
        <v>0</v>
      </c>
      <c r="T424" s="44">
        <f ca="1">月次返済表!R426</f>
        <v>0</v>
      </c>
      <c r="U424" s="44">
        <f ca="1">月次返済表!G426</f>
        <v>0</v>
      </c>
      <c r="V424" s="44"/>
      <c r="W424" s="44">
        <f t="shared" ca="1" si="10"/>
        <v>150233.43899516284</v>
      </c>
      <c r="X424" s="44">
        <f t="shared" ca="1" si="11"/>
        <v>150233.43899516284</v>
      </c>
    </row>
    <row r="425" spans="15:24">
      <c r="O425" s="43" t="str">
        <f>TEXT((月次返済表!A427-1)/12,"0.0")</f>
        <v>35.1</v>
      </c>
      <c r="P425" s="44">
        <f ca="1">月次返済表!S427</f>
        <v>0</v>
      </c>
      <c r="Q425" s="44">
        <f ca="1">月次返済表!T427</f>
        <v>0</v>
      </c>
      <c r="R425" s="44">
        <f ca="1">月次返済表!H427</f>
        <v>0</v>
      </c>
      <c r="S425" s="44">
        <f ca="1">月次返済表!I427</f>
        <v>0</v>
      </c>
      <c r="T425" s="44">
        <f ca="1">月次返済表!R427</f>
        <v>0</v>
      </c>
      <c r="U425" s="44">
        <f ca="1">月次返済表!G427</f>
        <v>0</v>
      </c>
      <c r="V425" s="44"/>
      <c r="W425" s="44">
        <f t="shared" ca="1" si="10"/>
        <v>150233.43899516284</v>
      </c>
      <c r="X425" s="44">
        <f t="shared" ca="1" si="11"/>
        <v>150233.43899516284</v>
      </c>
    </row>
    <row r="426" spans="15:24">
      <c r="O426" s="43" t="str">
        <f>TEXT((月次返済表!A428-1)/12,"0.0")</f>
        <v>35.2</v>
      </c>
      <c r="P426" s="44">
        <f ca="1">月次返済表!S428</f>
        <v>0</v>
      </c>
      <c r="Q426" s="44">
        <f ca="1">月次返済表!T428</f>
        <v>0</v>
      </c>
      <c r="R426" s="44">
        <f ca="1">月次返済表!H428</f>
        <v>0</v>
      </c>
      <c r="S426" s="44">
        <f ca="1">月次返済表!I428</f>
        <v>0</v>
      </c>
      <c r="T426" s="44">
        <f ca="1">月次返済表!R428</f>
        <v>0</v>
      </c>
      <c r="U426" s="44">
        <f ca="1">月次返済表!G428</f>
        <v>0</v>
      </c>
      <c r="V426" s="44"/>
      <c r="W426" s="44">
        <f t="shared" ca="1" si="10"/>
        <v>150233.43899516284</v>
      </c>
      <c r="X426" s="44">
        <f t="shared" ca="1" si="11"/>
        <v>150233.43899516284</v>
      </c>
    </row>
    <row r="427" spans="15:24">
      <c r="O427" s="43" t="str">
        <f>TEXT((月次返済表!A429-1)/12,"0.0")</f>
        <v>35.3</v>
      </c>
      <c r="P427" s="44">
        <f ca="1">月次返済表!S429</f>
        <v>0</v>
      </c>
      <c r="Q427" s="44">
        <f ca="1">月次返済表!T429</f>
        <v>0</v>
      </c>
      <c r="R427" s="44">
        <f ca="1">月次返済表!H429</f>
        <v>0</v>
      </c>
      <c r="S427" s="44">
        <f ca="1">月次返済表!I429</f>
        <v>0</v>
      </c>
      <c r="T427" s="44">
        <f ca="1">月次返済表!R429</f>
        <v>0</v>
      </c>
      <c r="U427" s="44">
        <f ca="1">月次返済表!G429</f>
        <v>0</v>
      </c>
      <c r="V427" s="44"/>
      <c r="W427" s="44">
        <f t="shared" ca="1" si="10"/>
        <v>150233.43899516284</v>
      </c>
      <c r="X427" s="44">
        <f t="shared" ca="1" si="11"/>
        <v>150233.43899516284</v>
      </c>
    </row>
    <row r="428" spans="15:24">
      <c r="O428" s="43" t="str">
        <f>TEXT((月次返済表!A430-1)/12,"0.0")</f>
        <v>35.3</v>
      </c>
      <c r="P428" s="44">
        <f ca="1">月次返済表!S430</f>
        <v>0</v>
      </c>
      <c r="Q428" s="44">
        <f ca="1">月次返済表!T430</f>
        <v>0</v>
      </c>
      <c r="R428" s="44">
        <f ca="1">月次返済表!H430</f>
        <v>0</v>
      </c>
      <c r="S428" s="44">
        <f ca="1">月次返済表!I430</f>
        <v>0</v>
      </c>
      <c r="T428" s="44">
        <f ca="1">月次返済表!R430</f>
        <v>0</v>
      </c>
      <c r="U428" s="44">
        <f ca="1">月次返済表!G430</f>
        <v>0</v>
      </c>
      <c r="V428" s="44"/>
      <c r="W428" s="44">
        <f t="shared" ca="1" si="10"/>
        <v>150233.43899516284</v>
      </c>
      <c r="X428" s="44">
        <f t="shared" ca="1" si="11"/>
        <v>150233.43899516284</v>
      </c>
    </row>
    <row r="429" spans="15:24">
      <c r="O429" s="43" t="str">
        <f>TEXT((月次返済表!A431-1)/12,"0.0")</f>
        <v>35.4</v>
      </c>
      <c r="P429" s="44">
        <f ca="1">月次返済表!S431</f>
        <v>0</v>
      </c>
      <c r="Q429" s="44">
        <f ca="1">月次返済表!T431</f>
        <v>0</v>
      </c>
      <c r="R429" s="44">
        <f ca="1">月次返済表!H431</f>
        <v>0</v>
      </c>
      <c r="S429" s="44">
        <f ca="1">月次返済表!I431</f>
        <v>0</v>
      </c>
      <c r="T429" s="44">
        <f ca="1">月次返済表!R431</f>
        <v>0</v>
      </c>
      <c r="U429" s="44">
        <f ca="1">月次返済表!G431</f>
        <v>0</v>
      </c>
      <c r="V429" s="44"/>
      <c r="W429" s="44">
        <f t="shared" ca="1" si="10"/>
        <v>150233.43899516284</v>
      </c>
      <c r="X429" s="44">
        <f t="shared" ca="1" si="11"/>
        <v>150233.43899516284</v>
      </c>
    </row>
    <row r="430" spans="15:24">
      <c r="O430" s="43" t="str">
        <f>TEXT((月次返済表!A432-1)/12,"0.0")</f>
        <v>35.5</v>
      </c>
      <c r="P430" s="44">
        <f ca="1">月次返済表!S432</f>
        <v>0</v>
      </c>
      <c r="Q430" s="44">
        <f ca="1">月次返済表!T432</f>
        <v>0</v>
      </c>
      <c r="R430" s="44">
        <f ca="1">月次返済表!H432</f>
        <v>0</v>
      </c>
      <c r="S430" s="44">
        <f ca="1">月次返済表!I432</f>
        <v>0</v>
      </c>
      <c r="T430" s="44">
        <f ca="1">月次返済表!R432</f>
        <v>0</v>
      </c>
      <c r="U430" s="44">
        <f ca="1">月次返済表!G432</f>
        <v>0</v>
      </c>
      <c r="V430" s="44"/>
      <c r="W430" s="44">
        <f t="shared" ca="1" si="10"/>
        <v>150233.43899516284</v>
      </c>
      <c r="X430" s="44">
        <f t="shared" ca="1" si="11"/>
        <v>150233.43899516284</v>
      </c>
    </row>
    <row r="431" spans="15:24">
      <c r="O431" s="43" t="str">
        <f>TEXT((月次返済表!A433-1)/12,"0.0")</f>
        <v>35.6</v>
      </c>
      <c r="P431" s="44">
        <f ca="1">月次返済表!S433</f>
        <v>0</v>
      </c>
      <c r="Q431" s="44">
        <f ca="1">月次返済表!T433</f>
        <v>0</v>
      </c>
      <c r="R431" s="44">
        <f ca="1">月次返済表!H433</f>
        <v>0</v>
      </c>
      <c r="S431" s="44">
        <f ca="1">月次返済表!I433</f>
        <v>0</v>
      </c>
      <c r="T431" s="44">
        <f ca="1">月次返済表!R433</f>
        <v>0</v>
      </c>
      <c r="U431" s="44">
        <f ca="1">月次返済表!G433</f>
        <v>0</v>
      </c>
      <c r="V431" s="44"/>
      <c r="W431" s="44">
        <f t="shared" ca="1" si="10"/>
        <v>150233.43899516284</v>
      </c>
      <c r="X431" s="44">
        <f t="shared" ca="1" si="11"/>
        <v>150233.43899516284</v>
      </c>
    </row>
    <row r="432" spans="15:24">
      <c r="O432" s="43" t="str">
        <f>TEXT((月次返済表!A434-1)/12,"0.0")</f>
        <v>35.7</v>
      </c>
      <c r="P432" s="44">
        <f ca="1">月次返済表!S434</f>
        <v>0</v>
      </c>
      <c r="Q432" s="44">
        <f ca="1">月次返済表!T434</f>
        <v>0</v>
      </c>
      <c r="R432" s="44">
        <f ca="1">月次返済表!H434</f>
        <v>0</v>
      </c>
      <c r="S432" s="44">
        <f ca="1">月次返済表!I434</f>
        <v>0</v>
      </c>
      <c r="T432" s="44">
        <f ca="1">月次返済表!R434</f>
        <v>0</v>
      </c>
      <c r="U432" s="44">
        <f ca="1">月次返済表!G434</f>
        <v>0</v>
      </c>
      <c r="V432" s="44"/>
      <c r="W432" s="44">
        <f t="shared" ca="1" si="10"/>
        <v>150233.43899516284</v>
      </c>
      <c r="X432" s="44">
        <f t="shared" ca="1" si="11"/>
        <v>150233.43899516284</v>
      </c>
    </row>
    <row r="433" spans="15:24">
      <c r="O433" s="43" t="str">
        <f>TEXT((月次返済表!A435-1)/12,"0.0")</f>
        <v>35.8</v>
      </c>
      <c r="P433" s="44">
        <f ca="1">月次返済表!S435</f>
        <v>0</v>
      </c>
      <c r="Q433" s="44">
        <f ca="1">月次返済表!T435</f>
        <v>0</v>
      </c>
      <c r="R433" s="44">
        <f ca="1">月次返済表!H435</f>
        <v>0</v>
      </c>
      <c r="S433" s="44">
        <f ca="1">月次返済表!I435</f>
        <v>0</v>
      </c>
      <c r="T433" s="44">
        <f ca="1">月次返済表!R435</f>
        <v>0</v>
      </c>
      <c r="U433" s="44">
        <f ca="1">月次返済表!G435</f>
        <v>0</v>
      </c>
      <c r="V433" s="44"/>
      <c r="W433" s="44">
        <f t="shared" ca="1" si="10"/>
        <v>150233.43899516284</v>
      </c>
      <c r="X433" s="44">
        <f t="shared" ca="1" si="11"/>
        <v>150233.43899516284</v>
      </c>
    </row>
    <row r="434" spans="15:24">
      <c r="O434" s="43" t="str">
        <f>TEXT((月次返済表!A436-1)/12,"0.0")</f>
        <v>35.8</v>
      </c>
      <c r="P434" s="44">
        <f ca="1">月次返済表!S436</f>
        <v>0</v>
      </c>
      <c r="Q434" s="44">
        <f ca="1">月次返済表!T436</f>
        <v>0</v>
      </c>
      <c r="R434" s="44">
        <f ca="1">月次返済表!H436</f>
        <v>0</v>
      </c>
      <c r="S434" s="44">
        <f ca="1">月次返済表!I436</f>
        <v>0</v>
      </c>
      <c r="T434" s="44">
        <f ca="1">月次返済表!R436</f>
        <v>0</v>
      </c>
      <c r="U434" s="44">
        <f ca="1">月次返済表!G436</f>
        <v>0</v>
      </c>
      <c r="V434" s="44"/>
      <c r="W434" s="44">
        <f t="shared" ca="1" si="10"/>
        <v>150233.43899516284</v>
      </c>
      <c r="X434" s="44">
        <f t="shared" ca="1" si="11"/>
        <v>150233.43899516284</v>
      </c>
    </row>
    <row r="435" spans="15:24">
      <c r="O435" s="43" t="str">
        <f>TEXT((月次返済表!A437-1)/12,"0.0")</f>
        <v>35.9</v>
      </c>
      <c r="P435" s="44">
        <f ca="1">月次返済表!S437</f>
        <v>0</v>
      </c>
      <c r="Q435" s="44">
        <f ca="1">月次返済表!T437</f>
        <v>0</v>
      </c>
      <c r="R435" s="44">
        <f ca="1">月次返済表!H437</f>
        <v>0</v>
      </c>
      <c r="S435" s="44">
        <f ca="1">月次返済表!I437</f>
        <v>0</v>
      </c>
      <c r="T435" s="44">
        <f ca="1">月次返済表!R437</f>
        <v>0</v>
      </c>
      <c r="U435" s="44">
        <f ca="1">月次返済表!G437</f>
        <v>0</v>
      </c>
      <c r="V435" s="44"/>
      <c r="W435" s="44">
        <f t="shared" ca="1" si="10"/>
        <v>150233.43899516284</v>
      </c>
      <c r="X435" s="44">
        <f t="shared" ca="1" si="11"/>
        <v>150233.43899516284</v>
      </c>
    </row>
    <row r="436" spans="15:24">
      <c r="O436" s="43" t="str">
        <f>TEXT((月次返済表!A438-1)/12,"0.0")</f>
        <v>36.0</v>
      </c>
      <c r="P436" s="44">
        <f ca="1">月次返済表!S438</f>
        <v>0</v>
      </c>
      <c r="Q436" s="44">
        <f ca="1">月次返済表!T438</f>
        <v>0</v>
      </c>
      <c r="R436" s="44">
        <f ca="1">月次返済表!H438</f>
        <v>0</v>
      </c>
      <c r="S436" s="44">
        <f ca="1">月次返済表!I438</f>
        <v>0</v>
      </c>
      <c r="T436" s="44">
        <f ca="1">月次返済表!R438</f>
        <v>0</v>
      </c>
      <c r="U436" s="44">
        <f ca="1">月次返済表!G438</f>
        <v>0</v>
      </c>
      <c r="V436" s="44"/>
      <c r="W436" s="44">
        <f t="shared" ca="1" si="10"/>
        <v>150233.43899516284</v>
      </c>
      <c r="X436" s="44">
        <f t="shared" ca="1" si="11"/>
        <v>150233.43899516284</v>
      </c>
    </row>
    <row r="437" spans="15:24">
      <c r="O437" s="43" t="str">
        <f>TEXT((月次返済表!A439-1)/12,"0.0")</f>
        <v>36.1</v>
      </c>
      <c r="P437" s="44">
        <f ca="1">月次返済表!S439</f>
        <v>0</v>
      </c>
      <c r="Q437" s="44">
        <f ca="1">月次返済表!T439</f>
        <v>0</v>
      </c>
      <c r="R437" s="44">
        <f ca="1">月次返済表!H439</f>
        <v>0</v>
      </c>
      <c r="S437" s="44">
        <f ca="1">月次返済表!I439</f>
        <v>0</v>
      </c>
      <c r="T437" s="44">
        <f ca="1">月次返済表!R439</f>
        <v>0</v>
      </c>
      <c r="U437" s="44">
        <f ca="1">月次返済表!G439</f>
        <v>0</v>
      </c>
      <c r="V437" s="44"/>
      <c r="W437" s="44">
        <f t="shared" ca="1" si="10"/>
        <v>150233.43899516284</v>
      </c>
      <c r="X437" s="44">
        <f t="shared" ca="1" si="11"/>
        <v>150233.43899516284</v>
      </c>
    </row>
    <row r="438" spans="15:24">
      <c r="O438" s="43" t="str">
        <f>TEXT((月次返済表!A440-1)/12,"0.0")</f>
        <v>36.2</v>
      </c>
      <c r="P438" s="44">
        <f ca="1">月次返済表!S440</f>
        <v>0</v>
      </c>
      <c r="Q438" s="44">
        <f ca="1">月次返済表!T440</f>
        <v>0</v>
      </c>
      <c r="R438" s="44">
        <f ca="1">月次返済表!H440</f>
        <v>0</v>
      </c>
      <c r="S438" s="44">
        <f ca="1">月次返済表!I440</f>
        <v>0</v>
      </c>
      <c r="T438" s="44">
        <f ca="1">月次返済表!R440</f>
        <v>0</v>
      </c>
      <c r="U438" s="44">
        <f ca="1">月次返済表!G440</f>
        <v>0</v>
      </c>
      <c r="V438" s="44"/>
      <c r="W438" s="44">
        <f t="shared" ca="1" si="10"/>
        <v>150233.43899516284</v>
      </c>
      <c r="X438" s="44">
        <f t="shared" ca="1" si="11"/>
        <v>150233.43899516284</v>
      </c>
    </row>
    <row r="439" spans="15:24">
      <c r="O439" s="43" t="str">
        <f>TEXT((月次返済表!A441-1)/12,"0.0")</f>
        <v>36.3</v>
      </c>
      <c r="P439" s="44">
        <f ca="1">月次返済表!S441</f>
        <v>0</v>
      </c>
      <c r="Q439" s="44">
        <f ca="1">月次返済表!T441</f>
        <v>0</v>
      </c>
      <c r="R439" s="44">
        <f ca="1">月次返済表!H441</f>
        <v>0</v>
      </c>
      <c r="S439" s="44">
        <f ca="1">月次返済表!I441</f>
        <v>0</v>
      </c>
      <c r="T439" s="44">
        <f ca="1">月次返済表!R441</f>
        <v>0</v>
      </c>
      <c r="U439" s="44">
        <f ca="1">月次返済表!G441</f>
        <v>0</v>
      </c>
      <c r="V439" s="44"/>
      <c r="W439" s="44">
        <f t="shared" ca="1" si="10"/>
        <v>150233.43899516284</v>
      </c>
      <c r="X439" s="44">
        <f t="shared" ca="1" si="11"/>
        <v>150233.43899516284</v>
      </c>
    </row>
    <row r="440" spans="15:24">
      <c r="O440" s="43" t="str">
        <f>TEXT((月次返済表!A442-1)/12,"0.0")</f>
        <v>36.3</v>
      </c>
      <c r="P440" s="44">
        <f ca="1">月次返済表!S442</f>
        <v>0</v>
      </c>
      <c r="Q440" s="44">
        <f ca="1">月次返済表!T442</f>
        <v>0</v>
      </c>
      <c r="R440" s="44">
        <f ca="1">月次返済表!H442</f>
        <v>0</v>
      </c>
      <c r="S440" s="44">
        <f ca="1">月次返済表!I442</f>
        <v>0</v>
      </c>
      <c r="T440" s="44">
        <f ca="1">月次返済表!R442</f>
        <v>0</v>
      </c>
      <c r="U440" s="44">
        <f ca="1">月次返済表!G442</f>
        <v>0</v>
      </c>
      <c r="V440" s="44"/>
      <c r="W440" s="44">
        <f t="shared" ca="1" si="10"/>
        <v>150233.43899516284</v>
      </c>
      <c r="X440" s="44">
        <f t="shared" ca="1" si="11"/>
        <v>150233.43899516284</v>
      </c>
    </row>
    <row r="441" spans="15:24">
      <c r="O441" s="43" t="str">
        <f>TEXT((月次返済表!A443-1)/12,"0.0")</f>
        <v>36.4</v>
      </c>
      <c r="P441" s="44">
        <f ca="1">月次返済表!S443</f>
        <v>0</v>
      </c>
      <c r="Q441" s="44">
        <f ca="1">月次返済表!T443</f>
        <v>0</v>
      </c>
      <c r="R441" s="44">
        <f ca="1">月次返済表!H443</f>
        <v>0</v>
      </c>
      <c r="S441" s="44">
        <f ca="1">月次返済表!I443</f>
        <v>0</v>
      </c>
      <c r="T441" s="44">
        <f ca="1">月次返済表!R443</f>
        <v>0</v>
      </c>
      <c r="U441" s="44">
        <f ca="1">月次返済表!G443</f>
        <v>0</v>
      </c>
      <c r="V441" s="44"/>
      <c r="W441" s="44">
        <f t="shared" ca="1" si="10"/>
        <v>150233.43899516284</v>
      </c>
      <c r="X441" s="44">
        <f t="shared" ca="1" si="11"/>
        <v>150233.43899516284</v>
      </c>
    </row>
    <row r="442" spans="15:24">
      <c r="O442" s="43" t="str">
        <f>TEXT((月次返済表!A444-1)/12,"0.0")</f>
        <v>36.5</v>
      </c>
      <c r="P442" s="44">
        <f ca="1">月次返済表!S444</f>
        <v>0</v>
      </c>
      <c r="Q442" s="44">
        <f ca="1">月次返済表!T444</f>
        <v>0</v>
      </c>
      <c r="R442" s="44">
        <f ca="1">月次返済表!H444</f>
        <v>0</v>
      </c>
      <c r="S442" s="44">
        <f ca="1">月次返済表!I444</f>
        <v>0</v>
      </c>
      <c r="T442" s="44">
        <f ca="1">月次返済表!R444</f>
        <v>0</v>
      </c>
      <c r="U442" s="44">
        <f ca="1">月次返済表!G444</f>
        <v>0</v>
      </c>
      <c r="V442" s="44"/>
      <c r="W442" s="44">
        <f t="shared" ca="1" si="10"/>
        <v>150233.43899516284</v>
      </c>
      <c r="X442" s="44">
        <f t="shared" ca="1" si="11"/>
        <v>150233.43899516284</v>
      </c>
    </row>
    <row r="443" spans="15:24">
      <c r="O443" s="43" t="str">
        <f>TEXT((月次返済表!A445-1)/12,"0.0")</f>
        <v>36.6</v>
      </c>
      <c r="P443" s="44">
        <f ca="1">月次返済表!S445</f>
        <v>0</v>
      </c>
      <c r="Q443" s="44">
        <f ca="1">月次返済表!T445</f>
        <v>0</v>
      </c>
      <c r="R443" s="44">
        <f ca="1">月次返済表!H445</f>
        <v>0</v>
      </c>
      <c r="S443" s="44">
        <f ca="1">月次返済表!I445</f>
        <v>0</v>
      </c>
      <c r="T443" s="44">
        <f ca="1">月次返済表!R445</f>
        <v>0</v>
      </c>
      <c r="U443" s="44">
        <f ca="1">月次返済表!G445</f>
        <v>0</v>
      </c>
      <c r="V443" s="44"/>
      <c r="W443" s="44">
        <f t="shared" ca="1" si="10"/>
        <v>150233.43899516284</v>
      </c>
      <c r="X443" s="44">
        <f t="shared" ca="1" si="11"/>
        <v>150233.43899516284</v>
      </c>
    </row>
    <row r="444" spans="15:24">
      <c r="O444" s="43" t="str">
        <f>TEXT((月次返済表!A446-1)/12,"0.0")</f>
        <v>36.7</v>
      </c>
      <c r="P444" s="44">
        <f ca="1">月次返済表!S446</f>
        <v>0</v>
      </c>
      <c r="Q444" s="44">
        <f ca="1">月次返済表!T446</f>
        <v>0</v>
      </c>
      <c r="R444" s="44">
        <f ca="1">月次返済表!H446</f>
        <v>0</v>
      </c>
      <c r="S444" s="44">
        <f ca="1">月次返済表!I446</f>
        <v>0</v>
      </c>
      <c r="T444" s="44">
        <f ca="1">月次返済表!R446</f>
        <v>0</v>
      </c>
      <c r="U444" s="44">
        <f ca="1">月次返済表!G446</f>
        <v>0</v>
      </c>
      <c r="V444" s="44"/>
      <c r="W444" s="44">
        <f t="shared" ca="1" si="10"/>
        <v>150233.43899516284</v>
      </c>
      <c r="X444" s="44">
        <f t="shared" ca="1" si="11"/>
        <v>150233.43899516284</v>
      </c>
    </row>
    <row r="445" spans="15:24">
      <c r="O445" s="43" t="str">
        <f>TEXT((月次返済表!A447-1)/12,"0.0")</f>
        <v>36.8</v>
      </c>
      <c r="P445" s="44">
        <f ca="1">月次返済表!S447</f>
        <v>0</v>
      </c>
      <c r="Q445" s="44">
        <f ca="1">月次返済表!T447</f>
        <v>0</v>
      </c>
      <c r="R445" s="44">
        <f ca="1">月次返済表!H447</f>
        <v>0</v>
      </c>
      <c r="S445" s="44">
        <f ca="1">月次返済表!I447</f>
        <v>0</v>
      </c>
      <c r="T445" s="44">
        <f ca="1">月次返済表!R447</f>
        <v>0</v>
      </c>
      <c r="U445" s="44">
        <f ca="1">月次返済表!G447</f>
        <v>0</v>
      </c>
      <c r="V445" s="44"/>
      <c r="W445" s="44">
        <f t="shared" ca="1" si="10"/>
        <v>150233.43899516284</v>
      </c>
      <c r="X445" s="44">
        <f t="shared" ca="1" si="11"/>
        <v>150233.43899516284</v>
      </c>
    </row>
    <row r="446" spans="15:24">
      <c r="O446" s="43" t="str">
        <f>TEXT((月次返済表!A448-1)/12,"0.0")</f>
        <v>36.8</v>
      </c>
      <c r="P446" s="44">
        <f ca="1">月次返済表!S448</f>
        <v>0</v>
      </c>
      <c r="Q446" s="44">
        <f ca="1">月次返済表!T448</f>
        <v>0</v>
      </c>
      <c r="R446" s="44">
        <f ca="1">月次返済表!H448</f>
        <v>0</v>
      </c>
      <c r="S446" s="44">
        <f ca="1">月次返済表!I448</f>
        <v>0</v>
      </c>
      <c r="T446" s="44">
        <f ca="1">月次返済表!R448</f>
        <v>0</v>
      </c>
      <c r="U446" s="44">
        <f ca="1">月次返済表!G448</f>
        <v>0</v>
      </c>
      <c r="V446" s="44"/>
      <c r="W446" s="44">
        <f t="shared" ca="1" si="10"/>
        <v>150233.43899516284</v>
      </c>
      <c r="X446" s="44">
        <f t="shared" ca="1" si="11"/>
        <v>150233.43899516284</v>
      </c>
    </row>
    <row r="447" spans="15:24">
      <c r="O447" s="43" t="str">
        <f>TEXT((月次返済表!A449-1)/12,"0.0")</f>
        <v>36.9</v>
      </c>
      <c r="P447" s="44">
        <f ca="1">月次返済表!S449</f>
        <v>0</v>
      </c>
      <c r="Q447" s="44">
        <f ca="1">月次返済表!T449</f>
        <v>0</v>
      </c>
      <c r="R447" s="44">
        <f ca="1">月次返済表!H449</f>
        <v>0</v>
      </c>
      <c r="S447" s="44">
        <f ca="1">月次返済表!I449</f>
        <v>0</v>
      </c>
      <c r="T447" s="44">
        <f ca="1">月次返済表!R449</f>
        <v>0</v>
      </c>
      <c r="U447" s="44">
        <f ca="1">月次返済表!G449</f>
        <v>0</v>
      </c>
      <c r="V447" s="44"/>
      <c r="W447" s="44">
        <f t="shared" ca="1" si="10"/>
        <v>150233.43899516284</v>
      </c>
      <c r="X447" s="44">
        <f t="shared" ca="1" si="11"/>
        <v>150233.43899516284</v>
      </c>
    </row>
    <row r="448" spans="15:24">
      <c r="O448" s="43" t="str">
        <f>TEXT((月次返済表!A450-1)/12,"0.0")</f>
        <v>37.0</v>
      </c>
      <c r="P448" s="44">
        <f ca="1">月次返済表!S450</f>
        <v>0</v>
      </c>
      <c r="Q448" s="44">
        <f ca="1">月次返済表!T450</f>
        <v>0</v>
      </c>
      <c r="R448" s="44">
        <f ca="1">月次返済表!H450</f>
        <v>0</v>
      </c>
      <c r="S448" s="44">
        <f ca="1">月次返済表!I450</f>
        <v>0</v>
      </c>
      <c r="T448" s="44">
        <f ca="1">月次返済表!R450</f>
        <v>0</v>
      </c>
      <c r="U448" s="44">
        <f ca="1">月次返済表!G450</f>
        <v>0</v>
      </c>
      <c r="V448" s="44"/>
      <c r="W448" s="44">
        <f t="shared" ca="1" si="10"/>
        <v>150233.43899516284</v>
      </c>
      <c r="X448" s="44">
        <f t="shared" ca="1" si="11"/>
        <v>150233.43899516284</v>
      </c>
    </row>
    <row r="449" spans="15:24">
      <c r="O449" s="43" t="str">
        <f>TEXT((月次返済表!A451-1)/12,"0.0")</f>
        <v>37.1</v>
      </c>
      <c r="P449" s="44">
        <f ca="1">月次返済表!S451</f>
        <v>0</v>
      </c>
      <c r="Q449" s="44">
        <f ca="1">月次返済表!T451</f>
        <v>0</v>
      </c>
      <c r="R449" s="44">
        <f ca="1">月次返済表!H451</f>
        <v>0</v>
      </c>
      <c r="S449" s="44">
        <f ca="1">月次返済表!I451</f>
        <v>0</v>
      </c>
      <c r="T449" s="44">
        <f ca="1">月次返済表!R451</f>
        <v>0</v>
      </c>
      <c r="U449" s="44">
        <f ca="1">月次返済表!G451</f>
        <v>0</v>
      </c>
      <c r="V449" s="44"/>
      <c r="W449" s="44">
        <f t="shared" ca="1" si="10"/>
        <v>150233.43899516284</v>
      </c>
      <c r="X449" s="44">
        <f t="shared" ca="1" si="11"/>
        <v>150233.43899516284</v>
      </c>
    </row>
    <row r="450" spans="15:24">
      <c r="O450" s="43" t="str">
        <f>TEXT((月次返済表!A452-1)/12,"0.0")</f>
        <v>37.2</v>
      </c>
      <c r="P450" s="44">
        <f ca="1">月次返済表!S452</f>
        <v>0</v>
      </c>
      <c r="Q450" s="44">
        <f ca="1">月次返済表!T452</f>
        <v>0</v>
      </c>
      <c r="R450" s="44">
        <f ca="1">月次返済表!H452</f>
        <v>0</v>
      </c>
      <c r="S450" s="44">
        <f ca="1">月次返済表!I452</f>
        <v>0</v>
      </c>
      <c r="T450" s="44">
        <f ca="1">月次返済表!R452</f>
        <v>0</v>
      </c>
      <c r="U450" s="44">
        <f ca="1">月次返済表!G452</f>
        <v>0</v>
      </c>
      <c r="V450" s="44"/>
      <c r="W450" s="44">
        <f t="shared" ca="1" si="10"/>
        <v>150233.43899516284</v>
      </c>
      <c r="X450" s="44">
        <f t="shared" ca="1" si="11"/>
        <v>150233.43899516284</v>
      </c>
    </row>
    <row r="451" spans="15:24">
      <c r="O451" s="43" t="str">
        <f>TEXT((月次返済表!A453-1)/12,"0.0")</f>
        <v>37.3</v>
      </c>
      <c r="P451" s="44">
        <f ca="1">月次返済表!S453</f>
        <v>0</v>
      </c>
      <c r="Q451" s="44">
        <f ca="1">月次返済表!T453</f>
        <v>0</v>
      </c>
      <c r="R451" s="44">
        <f ca="1">月次返済表!H453</f>
        <v>0</v>
      </c>
      <c r="S451" s="44">
        <f ca="1">月次返済表!I453</f>
        <v>0</v>
      </c>
      <c r="T451" s="44">
        <f ca="1">月次返済表!R453</f>
        <v>0</v>
      </c>
      <c r="U451" s="44">
        <f ca="1">月次返済表!G453</f>
        <v>0</v>
      </c>
      <c r="V451" s="44"/>
      <c r="W451" s="44">
        <f t="shared" ca="1" si="10"/>
        <v>150233.43899516284</v>
      </c>
      <c r="X451" s="44">
        <f t="shared" ca="1" si="11"/>
        <v>150233.43899516284</v>
      </c>
    </row>
    <row r="452" spans="15:24">
      <c r="O452" s="43" t="str">
        <f>TEXT((月次返済表!A454-1)/12,"0.0")</f>
        <v>37.3</v>
      </c>
      <c r="P452" s="44">
        <f ca="1">月次返済表!S454</f>
        <v>0</v>
      </c>
      <c r="Q452" s="44">
        <f ca="1">月次返済表!T454</f>
        <v>0</v>
      </c>
      <c r="R452" s="44">
        <f ca="1">月次返済表!H454</f>
        <v>0</v>
      </c>
      <c r="S452" s="44">
        <f ca="1">月次返済表!I454</f>
        <v>0</v>
      </c>
      <c r="T452" s="44">
        <f ca="1">月次返済表!R454</f>
        <v>0</v>
      </c>
      <c r="U452" s="44">
        <f ca="1">月次返済表!G454</f>
        <v>0</v>
      </c>
      <c r="V452" s="44"/>
      <c r="W452" s="44">
        <f t="shared" ref="W452:W515" ca="1" si="12">$V$6-T452</f>
        <v>150233.43899516284</v>
      </c>
      <c r="X452" s="44">
        <f t="shared" ref="X452:X515" ca="1" si="13">$V$6-U452</f>
        <v>150233.43899516284</v>
      </c>
    </row>
    <row r="453" spans="15:24">
      <c r="O453" s="43" t="str">
        <f>TEXT((月次返済表!A455-1)/12,"0.0")</f>
        <v>37.4</v>
      </c>
      <c r="P453" s="44">
        <f ca="1">月次返済表!S455</f>
        <v>0</v>
      </c>
      <c r="Q453" s="44">
        <f ca="1">月次返済表!T455</f>
        <v>0</v>
      </c>
      <c r="R453" s="44">
        <f ca="1">月次返済表!H455</f>
        <v>0</v>
      </c>
      <c r="S453" s="44">
        <f ca="1">月次返済表!I455</f>
        <v>0</v>
      </c>
      <c r="T453" s="44">
        <f ca="1">月次返済表!R455</f>
        <v>0</v>
      </c>
      <c r="U453" s="44">
        <f ca="1">月次返済表!G455</f>
        <v>0</v>
      </c>
      <c r="V453" s="44"/>
      <c r="W453" s="44">
        <f t="shared" ca="1" si="12"/>
        <v>150233.43899516284</v>
      </c>
      <c r="X453" s="44">
        <f t="shared" ca="1" si="13"/>
        <v>150233.43899516284</v>
      </c>
    </row>
    <row r="454" spans="15:24">
      <c r="O454" s="43" t="str">
        <f>TEXT((月次返済表!A456-1)/12,"0.0")</f>
        <v>37.5</v>
      </c>
      <c r="P454" s="44">
        <f ca="1">月次返済表!S456</f>
        <v>0</v>
      </c>
      <c r="Q454" s="44">
        <f ca="1">月次返済表!T456</f>
        <v>0</v>
      </c>
      <c r="R454" s="44">
        <f ca="1">月次返済表!H456</f>
        <v>0</v>
      </c>
      <c r="S454" s="44">
        <f ca="1">月次返済表!I456</f>
        <v>0</v>
      </c>
      <c r="T454" s="44">
        <f ca="1">月次返済表!R456</f>
        <v>0</v>
      </c>
      <c r="U454" s="44">
        <f ca="1">月次返済表!G456</f>
        <v>0</v>
      </c>
      <c r="V454" s="44"/>
      <c r="W454" s="44">
        <f t="shared" ca="1" si="12"/>
        <v>150233.43899516284</v>
      </c>
      <c r="X454" s="44">
        <f t="shared" ca="1" si="13"/>
        <v>150233.43899516284</v>
      </c>
    </row>
    <row r="455" spans="15:24">
      <c r="O455" s="43" t="str">
        <f>TEXT((月次返済表!A457-1)/12,"0.0")</f>
        <v>37.6</v>
      </c>
      <c r="P455" s="44">
        <f ca="1">月次返済表!S457</f>
        <v>0</v>
      </c>
      <c r="Q455" s="44">
        <f ca="1">月次返済表!T457</f>
        <v>0</v>
      </c>
      <c r="R455" s="44">
        <f ca="1">月次返済表!H457</f>
        <v>0</v>
      </c>
      <c r="S455" s="44">
        <f ca="1">月次返済表!I457</f>
        <v>0</v>
      </c>
      <c r="T455" s="44">
        <f ca="1">月次返済表!R457</f>
        <v>0</v>
      </c>
      <c r="U455" s="44">
        <f ca="1">月次返済表!G457</f>
        <v>0</v>
      </c>
      <c r="V455" s="44"/>
      <c r="W455" s="44">
        <f t="shared" ca="1" si="12"/>
        <v>150233.43899516284</v>
      </c>
      <c r="X455" s="44">
        <f t="shared" ca="1" si="13"/>
        <v>150233.43899516284</v>
      </c>
    </row>
    <row r="456" spans="15:24">
      <c r="O456" s="43" t="str">
        <f>TEXT((月次返済表!A458-1)/12,"0.0")</f>
        <v>37.7</v>
      </c>
      <c r="P456" s="44">
        <f ca="1">月次返済表!S458</f>
        <v>0</v>
      </c>
      <c r="Q456" s="44">
        <f ca="1">月次返済表!T458</f>
        <v>0</v>
      </c>
      <c r="R456" s="44">
        <f ca="1">月次返済表!H458</f>
        <v>0</v>
      </c>
      <c r="S456" s="44">
        <f ca="1">月次返済表!I458</f>
        <v>0</v>
      </c>
      <c r="T456" s="44">
        <f ca="1">月次返済表!R458</f>
        <v>0</v>
      </c>
      <c r="U456" s="44">
        <f ca="1">月次返済表!G458</f>
        <v>0</v>
      </c>
      <c r="V456" s="44"/>
      <c r="W456" s="44">
        <f t="shared" ca="1" si="12"/>
        <v>150233.43899516284</v>
      </c>
      <c r="X456" s="44">
        <f t="shared" ca="1" si="13"/>
        <v>150233.43899516284</v>
      </c>
    </row>
    <row r="457" spans="15:24">
      <c r="O457" s="43" t="str">
        <f>TEXT((月次返済表!A459-1)/12,"0.0")</f>
        <v>37.8</v>
      </c>
      <c r="P457" s="44">
        <f ca="1">月次返済表!S459</f>
        <v>0</v>
      </c>
      <c r="Q457" s="44">
        <f ca="1">月次返済表!T459</f>
        <v>0</v>
      </c>
      <c r="R457" s="44">
        <f ca="1">月次返済表!H459</f>
        <v>0</v>
      </c>
      <c r="S457" s="44">
        <f ca="1">月次返済表!I459</f>
        <v>0</v>
      </c>
      <c r="T457" s="44">
        <f ca="1">月次返済表!R459</f>
        <v>0</v>
      </c>
      <c r="U457" s="44">
        <f ca="1">月次返済表!G459</f>
        <v>0</v>
      </c>
      <c r="V457" s="44"/>
      <c r="W457" s="44">
        <f t="shared" ca="1" si="12"/>
        <v>150233.43899516284</v>
      </c>
      <c r="X457" s="44">
        <f t="shared" ca="1" si="13"/>
        <v>150233.43899516284</v>
      </c>
    </row>
    <row r="458" spans="15:24">
      <c r="O458" s="43" t="str">
        <f>TEXT((月次返済表!A460-1)/12,"0.0")</f>
        <v>37.8</v>
      </c>
      <c r="P458" s="44">
        <f ca="1">月次返済表!S460</f>
        <v>0</v>
      </c>
      <c r="Q458" s="44">
        <f ca="1">月次返済表!T460</f>
        <v>0</v>
      </c>
      <c r="R458" s="44">
        <f ca="1">月次返済表!H460</f>
        <v>0</v>
      </c>
      <c r="S458" s="44">
        <f ca="1">月次返済表!I460</f>
        <v>0</v>
      </c>
      <c r="T458" s="44">
        <f ca="1">月次返済表!R460</f>
        <v>0</v>
      </c>
      <c r="U458" s="44">
        <f ca="1">月次返済表!G460</f>
        <v>0</v>
      </c>
      <c r="V458" s="44"/>
      <c r="W458" s="44">
        <f t="shared" ca="1" si="12"/>
        <v>150233.43899516284</v>
      </c>
      <c r="X458" s="44">
        <f t="shared" ca="1" si="13"/>
        <v>150233.43899516284</v>
      </c>
    </row>
    <row r="459" spans="15:24">
      <c r="O459" s="43" t="str">
        <f>TEXT((月次返済表!A461-1)/12,"0.0")</f>
        <v>37.9</v>
      </c>
      <c r="P459" s="44">
        <f ca="1">月次返済表!S461</f>
        <v>0</v>
      </c>
      <c r="Q459" s="44">
        <f ca="1">月次返済表!T461</f>
        <v>0</v>
      </c>
      <c r="R459" s="44">
        <f ca="1">月次返済表!H461</f>
        <v>0</v>
      </c>
      <c r="S459" s="44">
        <f ca="1">月次返済表!I461</f>
        <v>0</v>
      </c>
      <c r="T459" s="44">
        <f ca="1">月次返済表!R461</f>
        <v>0</v>
      </c>
      <c r="U459" s="44">
        <f ca="1">月次返済表!G461</f>
        <v>0</v>
      </c>
      <c r="V459" s="44"/>
      <c r="W459" s="44">
        <f t="shared" ca="1" si="12"/>
        <v>150233.43899516284</v>
      </c>
      <c r="X459" s="44">
        <f t="shared" ca="1" si="13"/>
        <v>150233.43899516284</v>
      </c>
    </row>
    <row r="460" spans="15:24">
      <c r="O460" s="43" t="str">
        <f>TEXT((月次返済表!A462-1)/12,"0.0")</f>
        <v>38.0</v>
      </c>
      <c r="P460" s="44">
        <f ca="1">月次返済表!S462</f>
        <v>0</v>
      </c>
      <c r="Q460" s="44">
        <f ca="1">月次返済表!T462</f>
        <v>0</v>
      </c>
      <c r="R460" s="44">
        <f ca="1">月次返済表!H462</f>
        <v>0</v>
      </c>
      <c r="S460" s="44">
        <f ca="1">月次返済表!I462</f>
        <v>0</v>
      </c>
      <c r="T460" s="44">
        <f ca="1">月次返済表!R462</f>
        <v>0</v>
      </c>
      <c r="U460" s="44">
        <f ca="1">月次返済表!G462</f>
        <v>0</v>
      </c>
      <c r="V460" s="44"/>
      <c r="W460" s="44">
        <f t="shared" ca="1" si="12"/>
        <v>150233.43899516284</v>
      </c>
      <c r="X460" s="44">
        <f t="shared" ca="1" si="13"/>
        <v>150233.43899516284</v>
      </c>
    </row>
    <row r="461" spans="15:24">
      <c r="O461" s="43" t="str">
        <f>TEXT((月次返済表!A463-1)/12,"0.0")</f>
        <v>38.1</v>
      </c>
      <c r="P461" s="44">
        <f ca="1">月次返済表!S463</f>
        <v>0</v>
      </c>
      <c r="Q461" s="44">
        <f ca="1">月次返済表!T463</f>
        <v>0</v>
      </c>
      <c r="R461" s="44">
        <f ca="1">月次返済表!H463</f>
        <v>0</v>
      </c>
      <c r="S461" s="44">
        <f ca="1">月次返済表!I463</f>
        <v>0</v>
      </c>
      <c r="T461" s="44">
        <f ca="1">月次返済表!R463</f>
        <v>0</v>
      </c>
      <c r="U461" s="44">
        <f ca="1">月次返済表!G463</f>
        <v>0</v>
      </c>
      <c r="V461" s="44"/>
      <c r="W461" s="44">
        <f t="shared" ca="1" si="12"/>
        <v>150233.43899516284</v>
      </c>
      <c r="X461" s="44">
        <f t="shared" ca="1" si="13"/>
        <v>150233.43899516284</v>
      </c>
    </row>
    <row r="462" spans="15:24">
      <c r="O462" s="43" t="str">
        <f>TEXT((月次返済表!A464-1)/12,"0.0")</f>
        <v>38.2</v>
      </c>
      <c r="P462" s="44">
        <f ca="1">月次返済表!S464</f>
        <v>0</v>
      </c>
      <c r="Q462" s="44">
        <f ca="1">月次返済表!T464</f>
        <v>0</v>
      </c>
      <c r="R462" s="44">
        <f ca="1">月次返済表!H464</f>
        <v>0</v>
      </c>
      <c r="S462" s="44">
        <f ca="1">月次返済表!I464</f>
        <v>0</v>
      </c>
      <c r="T462" s="44">
        <f ca="1">月次返済表!R464</f>
        <v>0</v>
      </c>
      <c r="U462" s="44">
        <f ca="1">月次返済表!G464</f>
        <v>0</v>
      </c>
      <c r="V462" s="44"/>
      <c r="W462" s="44">
        <f t="shared" ca="1" si="12"/>
        <v>150233.43899516284</v>
      </c>
      <c r="X462" s="44">
        <f t="shared" ca="1" si="13"/>
        <v>150233.43899516284</v>
      </c>
    </row>
    <row r="463" spans="15:24">
      <c r="O463" s="43" t="str">
        <f>TEXT((月次返済表!A465-1)/12,"0.0")</f>
        <v>38.3</v>
      </c>
      <c r="P463" s="44">
        <f ca="1">月次返済表!S465</f>
        <v>0</v>
      </c>
      <c r="Q463" s="44">
        <f ca="1">月次返済表!T465</f>
        <v>0</v>
      </c>
      <c r="R463" s="44">
        <f ca="1">月次返済表!H465</f>
        <v>0</v>
      </c>
      <c r="S463" s="44">
        <f ca="1">月次返済表!I465</f>
        <v>0</v>
      </c>
      <c r="T463" s="44">
        <f ca="1">月次返済表!R465</f>
        <v>0</v>
      </c>
      <c r="U463" s="44">
        <f ca="1">月次返済表!G465</f>
        <v>0</v>
      </c>
      <c r="V463" s="44"/>
      <c r="W463" s="44">
        <f t="shared" ca="1" si="12"/>
        <v>150233.43899516284</v>
      </c>
      <c r="X463" s="44">
        <f t="shared" ca="1" si="13"/>
        <v>150233.43899516284</v>
      </c>
    </row>
    <row r="464" spans="15:24">
      <c r="O464" s="43" t="str">
        <f>TEXT((月次返済表!A466-1)/12,"0.0")</f>
        <v>38.3</v>
      </c>
      <c r="P464" s="44">
        <f ca="1">月次返済表!S466</f>
        <v>0</v>
      </c>
      <c r="Q464" s="44">
        <f ca="1">月次返済表!T466</f>
        <v>0</v>
      </c>
      <c r="R464" s="44">
        <f ca="1">月次返済表!H466</f>
        <v>0</v>
      </c>
      <c r="S464" s="44">
        <f ca="1">月次返済表!I466</f>
        <v>0</v>
      </c>
      <c r="T464" s="44">
        <f ca="1">月次返済表!R466</f>
        <v>0</v>
      </c>
      <c r="U464" s="44">
        <f ca="1">月次返済表!G466</f>
        <v>0</v>
      </c>
      <c r="V464" s="44"/>
      <c r="W464" s="44">
        <f t="shared" ca="1" si="12"/>
        <v>150233.43899516284</v>
      </c>
      <c r="X464" s="44">
        <f t="shared" ca="1" si="13"/>
        <v>150233.43899516284</v>
      </c>
    </row>
    <row r="465" spans="15:24">
      <c r="O465" s="43" t="str">
        <f>TEXT((月次返済表!A467-1)/12,"0.0")</f>
        <v>38.4</v>
      </c>
      <c r="P465" s="44">
        <f ca="1">月次返済表!S467</f>
        <v>0</v>
      </c>
      <c r="Q465" s="44">
        <f ca="1">月次返済表!T467</f>
        <v>0</v>
      </c>
      <c r="R465" s="44">
        <f ca="1">月次返済表!H467</f>
        <v>0</v>
      </c>
      <c r="S465" s="44">
        <f ca="1">月次返済表!I467</f>
        <v>0</v>
      </c>
      <c r="T465" s="44">
        <f ca="1">月次返済表!R467</f>
        <v>0</v>
      </c>
      <c r="U465" s="44">
        <f ca="1">月次返済表!G467</f>
        <v>0</v>
      </c>
      <c r="V465" s="44"/>
      <c r="W465" s="44">
        <f t="shared" ca="1" si="12"/>
        <v>150233.43899516284</v>
      </c>
      <c r="X465" s="44">
        <f t="shared" ca="1" si="13"/>
        <v>150233.43899516284</v>
      </c>
    </row>
    <row r="466" spans="15:24">
      <c r="O466" s="43" t="str">
        <f>TEXT((月次返済表!A468-1)/12,"0.0")</f>
        <v>38.5</v>
      </c>
      <c r="P466" s="44">
        <f ca="1">月次返済表!S468</f>
        <v>0</v>
      </c>
      <c r="Q466" s="44">
        <f ca="1">月次返済表!T468</f>
        <v>0</v>
      </c>
      <c r="R466" s="44">
        <f ca="1">月次返済表!H468</f>
        <v>0</v>
      </c>
      <c r="S466" s="44">
        <f ca="1">月次返済表!I468</f>
        <v>0</v>
      </c>
      <c r="T466" s="44">
        <f ca="1">月次返済表!R468</f>
        <v>0</v>
      </c>
      <c r="U466" s="44">
        <f ca="1">月次返済表!G468</f>
        <v>0</v>
      </c>
      <c r="V466" s="44"/>
      <c r="W466" s="44">
        <f t="shared" ca="1" si="12"/>
        <v>150233.43899516284</v>
      </c>
      <c r="X466" s="44">
        <f t="shared" ca="1" si="13"/>
        <v>150233.43899516284</v>
      </c>
    </row>
    <row r="467" spans="15:24">
      <c r="O467" s="43" t="str">
        <f>TEXT((月次返済表!A469-1)/12,"0.0")</f>
        <v>38.6</v>
      </c>
      <c r="P467" s="44">
        <f ca="1">月次返済表!S469</f>
        <v>0</v>
      </c>
      <c r="Q467" s="44">
        <f ca="1">月次返済表!T469</f>
        <v>0</v>
      </c>
      <c r="R467" s="44">
        <f ca="1">月次返済表!H469</f>
        <v>0</v>
      </c>
      <c r="S467" s="44">
        <f ca="1">月次返済表!I469</f>
        <v>0</v>
      </c>
      <c r="T467" s="44">
        <f ca="1">月次返済表!R469</f>
        <v>0</v>
      </c>
      <c r="U467" s="44">
        <f ca="1">月次返済表!G469</f>
        <v>0</v>
      </c>
      <c r="V467" s="44"/>
      <c r="W467" s="44">
        <f t="shared" ca="1" si="12"/>
        <v>150233.43899516284</v>
      </c>
      <c r="X467" s="44">
        <f t="shared" ca="1" si="13"/>
        <v>150233.43899516284</v>
      </c>
    </row>
    <row r="468" spans="15:24">
      <c r="O468" s="43" t="str">
        <f>TEXT((月次返済表!A470-1)/12,"0.0")</f>
        <v>38.7</v>
      </c>
      <c r="P468" s="44">
        <f ca="1">月次返済表!S470</f>
        <v>0</v>
      </c>
      <c r="Q468" s="44">
        <f ca="1">月次返済表!T470</f>
        <v>0</v>
      </c>
      <c r="R468" s="44">
        <f ca="1">月次返済表!H470</f>
        <v>0</v>
      </c>
      <c r="S468" s="44">
        <f ca="1">月次返済表!I470</f>
        <v>0</v>
      </c>
      <c r="T468" s="44">
        <f ca="1">月次返済表!R470</f>
        <v>0</v>
      </c>
      <c r="U468" s="44">
        <f ca="1">月次返済表!G470</f>
        <v>0</v>
      </c>
      <c r="V468" s="44"/>
      <c r="W468" s="44">
        <f t="shared" ca="1" si="12"/>
        <v>150233.43899516284</v>
      </c>
      <c r="X468" s="44">
        <f t="shared" ca="1" si="13"/>
        <v>150233.43899516284</v>
      </c>
    </row>
    <row r="469" spans="15:24">
      <c r="O469" s="43" t="str">
        <f>TEXT((月次返済表!A471-1)/12,"0.0")</f>
        <v>38.8</v>
      </c>
      <c r="P469" s="44">
        <f ca="1">月次返済表!S471</f>
        <v>0</v>
      </c>
      <c r="Q469" s="44">
        <f ca="1">月次返済表!T471</f>
        <v>0</v>
      </c>
      <c r="R469" s="44">
        <f ca="1">月次返済表!H471</f>
        <v>0</v>
      </c>
      <c r="S469" s="44">
        <f ca="1">月次返済表!I471</f>
        <v>0</v>
      </c>
      <c r="T469" s="44">
        <f ca="1">月次返済表!R471</f>
        <v>0</v>
      </c>
      <c r="U469" s="44">
        <f ca="1">月次返済表!G471</f>
        <v>0</v>
      </c>
      <c r="V469" s="44"/>
      <c r="W469" s="44">
        <f t="shared" ca="1" si="12"/>
        <v>150233.43899516284</v>
      </c>
      <c r="X469" s="44">
        <f t="shared" ca="1" si="13"/>
        <v>150233.43899516284</v>
      </c>
    </row>
    <row r="470" spans="15:24">
      <c r="O470" s="43" t="str">
        <f>TEXT((月次返済表!A472-1)/12,"0.0")</f>
        <v>38.8</v>
      </c>
      <c r="P470" s="44">
        <f ca="1">月次返済表!S472</f>
        <v>0</v>
      </c>
      <c r="Q470" s="44">
        <f ca="1">月次返済表!T472</f>
        <v>0</v>
      </c>
      <c r="R470" s="44">
        <f ca="1">月次返済表!H472</f>
        <v>0</v>
      </c>
      <c r="S470" s="44">
        <f ca="1">月次返済表!I472</f>
        <v>0</v>
      </c>
      <c r="T470" s="44">
        <f ca="1">月次返済表!R472</f>
        <v>0</v>
      </c>
      <c r="U470" s="44">
        <f ca="1">月次返済表!G472</f>
        <v>0</v>
      </c>
      <c r="V470" s="44"/>
      <c r="W470" s="44">
        <f t="shared" ca="1" si="12"/>
        <v>150233.43899516284</v>
      </c>
      <c r="X470" s="44">
        <f t="shared" ca="1" si="13"/>
        <v>150233.43899516284</v>
      </c>
    </row>
    <row r="471" spans="15:24">
      <c r="O471" s="43" t="str">
        <f>TEXT((月次返済表!A473-1)/12,"0.0")</f>
        <v>38.9</v>
      </c>
      <c r="P471" s="44">
        <f ca="1">月次返済表!S473</f>
        <v>0</v>
      </c>
      <c r="Q471" s="44">
        <f ca="1">月次返済表!T473</f>
        <v>0</v>
      </c>
      <c r="R471" s="44">
        <f ca="1">月次返済表!H473</f>
        <v>0</v>
      </c>
      <c r="S471" s="44">
        <f ca="1">月次返済表!I473</f>
        <v>0</v>
      </c>
      <c r="T471" s="44">
        <f ca="1">月次返済表!R473</f>
        <v>0</v>
      </c>
      <c r="U471" s="44">
        <f ca="1">月次返済表!G473</f>
        <v>0</v>
      </c>
      <c r="V471" s="44"/>
      <c r="W471" s="44">
        <f t="shared" ca="1" si="12"/>
        <v>150233.43899516284</v>
      </c>
      <c r="X471" s="44">
        <f t="shared" ca="1" si="13"/>
        <v>150233.43899516284</v>
      </c>
    </row>
    <row r="472" spans="15:24">
      <c r="O472" s="43" t="str">
        <f>TEXT((月次返済表!A474-1)/12,"0.0")</f>
        <v>39.0</v>
      </c>
      <c r="P472" s="44">
        <f ca="1">月次返済表!S474</f>
        <v>0</v>
      </c>
      <c r="Q472" s="44">
        <f ca="1">月次返済表!T474</f>
        <v>0</v>
      </c>
      <c r="R472" s="44">
        <f ca="1">月次返済表!H474</f>
        <v>0</v>
      </c>
      <c r="S472" s="44">
        <f ca="1">月次返済表!I474</f>
        <v>0</v>
      </c>
      <c r="T472" s="44">
        <f ca="1">月次返済表!R474</f>
        <v>0</v>
      </c>
      <c r="U472" s="44">
        <f ca="1">月次返済表!G474</f>
        <v>0</v>
      </c>
      <c r="V472" s="44"/>
      <c r="W472" s="44">
        <f t="shared" ca="1" si="12"/>
        <v>150233.43899516284</v>
      </c>
      <c r="X472" s="44">
        <f t="shared" ca="1" si="13"/>
        <v>150233.43899516284</v>
      </c>
    </row>
    <row r="473" spans="15:24">
      <c r="O473" s="43" t="str">
        <f>TEXT((月次返済表!A475-1)/12,"0.0")</f>
        <v>39.1</v>
      </c>
      <c r="P473" s="44">
        <f ca="1">月次返済表!S475</f>
        <v>0</v>
      </c>
      <c r="Q473" s="44">
        <f ca="1">月次返済表!T475</f>
        <v>0</v>
      </c>
      <c r="R473" s="44">
        <f ca="1">月次返済表!H475</f>
        <v>0</v>
      </c>
      <c r="S473" s="44">
        <f ca="1">月次返済表!I475</f>
        <v>0</v>
      </c>
      <c r="T473" s="44">
        <f ca="1">月次返済表!R475</f>
        <v>0</v>
      </c>
      <c r="U473" s="44">
        <f ca="1">月次返済表!G475</f>
        <v>0</v>
      </c>
      <c r="V473" s="44"/>
      <c r="W473" s="44">
        <f t="shared" ca="1" si="12"/>
        <v>150233.43899516284</v>
      </c>
      <c r="X473" s="44">
        <f t="shared" ca="1" si="13"/>
        <v>150233.43899516284</v>
      </c>
    </row>
    <row r="474" spans="15:24">
      <c r="O474" s="43" t="str">
        <f>TEXT((月次返済表!A476-1)/12,"0.0")</f>
        <v>39.2</v>
      </c>
      <c r="P474" s="44">
        <f ca="1">月次返済表!S476</f>
        <v>0</v>
      </c>
      <c r="Q474" s="44">
        <f ca="1">月次返済表!T476</f>
        <v>0</v>
      </c>
      <c r="R474" s="44">
        <f ca="1">月次返済表!H476</f>
        <v>0</v>
      </c>
      <c r="S474" s="44">
        <f ca="1">月次返済表!I476</f>
        <v>0</v>
      </c>
      <c r="T474" s="44">
        <f ca="1">月次返済表!R476</f>
        <v>0</v>
      </c>
      <c r="U474" s="44">
        <f ca="1">月次返済表!G476</f>
        <v>0</v>
      </c>
      <c r="V474" s="44"/>
      <c r="W474" s="44">
        <f t="shared" ca="1" si="12"/>
        <v>150233.43899516284</v>
      </c>
      <c r="X474" s="44">
        <f t="shared" ca="1" si="13"/>
        <v>150233.43899516284</v>
      </c>
    </row>
    <row r="475" spans="15:24">
      <c r="O475" s="43" t="str">
        <f>TEXT((月次返済表!A477-1)/12,"0.0")</f>
        <v>39.3</v>
      </c>
      <c r="P475" s="44">
        <f ca="1">月次返済表!S477</f>
        <v>0</v>
      </c>
      <c r="Q475" s="44">
        <f ca="1">月次返済表!T477</f>
        <v>0</v>
      </c>
      <c r="R475" s="44">
        <f ca="1">月次返済表!H477</f>
        <v>0</v>
      </c>
      <c r="S475" s="44">
        <f ca="1">月次返済表!I477</f>
        <v>0</v>
      </c>
      <c r="T475" s="44">
        <f ca="1">月次返済表!R477</f>
        <v>0</v>
      </c>
      <c r="U475" s="44">
        <f ca="1">月次返済表!G477</f>
        <v>0</v>
      </c>
      <c r="V475" s="44"/>
      <c r="W475" s="44">
        <f t="shared" ca="1" si="12"/>
        <v>150233.43899516284</v>
      </c>
      <c r="X475" s="44">
        <f t="shared" ca="1" si="13"/>
        <v>150233.43899516284</v>
      </c>
    </row>
    <row r="476" spans="15:24">
      <c r="O476" s="43" t="str">
        <f>TEXT((月次返済表!A478-1)/12,"0.0")</f>
        <v>39.3</v>
      </c>
      <c r="P476" s="44">
        <f ca="1">月次返済表!S478</f>
        <v>0</v>
      </c>
      <c r="Q476" s="44">
        <f ca="1">月次返済表!T478</f>
        <v>0</v>
      </c>
      <c r="R476" s="44">
        <f ca="1">月次返済表!H478</f>
        <v>0</v>
      </c>
      <c r="S476" s="44">
        <f ca="1">月次返済表!I478</f>
        <v>0</v>
      </c>
      <c r="T476" s="44">
        <f ca="1">月次返済表!R478</f>
        <v>0</v>
      </c>
      <c r="U476" s="44">
        <f ca="1">月次返済表!G478</f>
        <v>0</v>
      </c>
      <c r="V476" s="44"/>
      <c r="W476" s="44">
        <f t="shared" ca="1" si="12"/>
        <v>150233.43899516284</v>
      </c>
      <c r="X476" s="44">
        <f t="shared" ca="1" si="13"/>
        <v>150233.43899516284</v>
      </c>
    </row>
    <row r="477" spans="15:24">
      <c r="O477" s="43" t="str">
        <f>TEXT((月次返済表!A479-1)/12,"0.0")</f>
        <v>39.4</v>
      </c>
      <c r="P477" s="44">
        <f ca="1">月次返済表!S479</f>
        <v>0</v>
      </c>
      <c r="Q477" s="44">
        <f ca="1">月次返済表!T479</f>
        <v>0</v>
      </c>
      <c r="R477" s="44">
        <f ca="1">月次返済表!H479</f>
        <v>0</v>
      </c>
      <c r="S477" s="44">
        <f ca="1">月次返済表!I479</f>
        <v>0</v>
      </c>
      <c r="T477" s="44">
        <f ca="1">月次返済表!R479</f>
        <v>0</v>
      </c>
      <c r="U477" s="44">
        <f ca="1">月次返済表!G479</f>
        <v>0</v>
      </c>
      <c r="V477" s="44"/>
      <c r="W477" s="44">
        <f t="shared" ca="1" si="12"/>
        <v>150233.43899516284</v>
      </c>
      <c r="X477" s="44">
        <f t="shared" ca="1" si="13"/>
        <v>150233.43899516284</v>
      </c>
    </row>
    <row r="478" spans="15:24">
      <c r="O478" s="43" t="str">
        <f>TEXT((月次返済表!A480-1)/12,"0.0")</f>
        <v>39.5</v>
      </c>
      <c r="P478" s="44">
        <f ca="1">月次返済表!S480</f>
        <v>0</v>
      </c>
      <c r="Q478" s="44">
        <f ca="1">月次返済表!T480</f>
        <v>0</v>
      </c>
      <c r="R478" s="44">
        <f ca="1">月次返済表!H480</f>
        <v>0</v>
      </c>
      <c r="S478" s="44">
        <f ca="1">月次返済表!I480</f>
        <v>0</v>
      </c>
      <c r="T478" s="44">
        <f ca="1">月次返済表!R480</f>
        <v>0</v>
      </c>
      <c r="U478" s="44">
        <f ca="1">月次返済表!G480</f>
        <v>0</v>
      </c>
      <c r="V478" s="44"/>
      <c r="W478" s="44">
        <f t="shared" ca="1" si="12"/>
        <v>150233.43899516284</v>
      </c>
      <c r="X478" s="44">
        <f t="shared" ca="1" si="13"/>
        <v>150233.43899516284</v>
      </c>
    </row>
    <row r="479" spans="15:24">
      <c r="O479" s="43" t="str">
        <f>TEXT((月次返済表!A481-1)/12,"0.0")</f>
        <v>39.6</v>
      </c>
      <c r="P479" s="44">
        <f ca="1">月次返済表!S481</f>
        <v>0</v>
      </c>
      <c r="Q479" s="44">
        <f ca="1">月次返済表!T481</f>
        <v>0</v>
      </c>
      <c r="R479" s="44">
        <f ca="1">月次返済表!H481</f>
        <v>0</v>
      </c>
      <c r="S479" s="44">
        <f ca="1">月次返済表!I481</f>
        <v>0</v>
      </c>
      <c r="T479" s="44">
        <f ca="1">月次返済表!R481</f>
        <v>0</v>
      </c>
      <c r="U479" s="44">
        <f ca="1">月次返済表!G481</f>
        <v>0</v>
      </c>
      <c r="V479" s="44"/>
      <c r="W479" s="44">
        <f t="shared" ca="1" si="12"/>
        <v>150233.43899516284</v>
      </c>
      <c r="X479" s="44">
        <f t="shared" ca="1" si="13"/>
        <v>150233.43899516284</v>
      </c>
    </row>
    <row r="480" spans="15:24">
      <c r="O480" s="43" t="str">
        <f>TEXT((月次返済表!A482-1)/12,"0.0")</f>
        <v>39.7</v>
      </c>
      <c r="P480" s="44">
        <f ca="1">月次返済表!S482</f>
        <v>0</v>
      </c>
      <c r="Q480" s="44">
        <f ca="1">月次返済表!T482</f>
        <v>0</v>
      </c>
      <c r="R480" s="44">
        <f ca="1">月次返済表!H482</f>
        <v>0</v>
      </c>
      <c r="S480" s="44">
        <f ca="1">月次返済表!I482</f>
        <v>0</v>
      </c>
      <c r="T480" s="44">
        <f ca="1">月次返済表!R482</f>
        <v>0</v>
      </c>
      <c r="U480" s="44">
        <f ca="1">月次返済表!G482</f>
        <v>0</v>
      </c>
      <c r="V480" s="44"/>
      <c r="W480" s="44">
        <f t="shared" ca="1" si="12"/>
        <v>150233.43899516284</v>
      </c>
      <c r="X480" s="44">
        <f t="shared" ca="1" si="13"/>
        <v>150233.43899516284</v>
      </c>
    </row>
    <row r="481" spans="15:24">
      <c r="O481" s="43" t="str">
        <f>TEXT((月次返済表!A483-1)/12,"0.0")</f>
        <v>39.8</v>
      </c>
      <c r="P481" s="44">
        <f ca="1">月次返済表!S483</f>
        <v>0</v>
      </c>
      <c r="Q481" s="44">
        <f ca="1">月次返済表!T483</f>
        <v>0</v>
      </c>
      <c r="R481" s="44">
        <f ca="1">月次返済表!H483</f>
        <v>0</v>
      </c>
      <c r="S481" s="44">
        <f ca="1">月次返済表!I483</f>
        <v>0</v>
      </c>
      <c r="T481" s="44">
        <f ca="1">月次返済表!R483</f>
        <v>0</v>
      </c>
      <c r="U481" s="44">
        <f ca="1">月次返済表!G483</f>
        <v>0</v>
      </c>
      <c r="V481" s="44"/>
      <c r="W481" s="44">
        <f t="shared" ca="1" si="12"/>
        <v>150233.43899516284</v>
      </c>
      <c r="X481" s="44">
        <f t="shared" ca="1" si="13"/>
        <v>150233.43899516284</v>
      </c>
    </row>
    <row r="482" spans="15:24">
      <c r="O482" s="43" t="str">
        <f>TEXT((月次返済表!A484-1)/12,"0.0")</f>
        <v>39.8</v>
      </c>
      <c r="P482" s="44">
        <f ca="1">月次返済表!S484</f>
        <v>0</v>
      </c>
      <c r="Q482" s="44">
        <f ca="1">月次返済表!T484</f>
        <v>0</v>
      </c>
      <c r="R482" s="44">
        <f ca="1">月次返済表!H484</f>
        <v>0</v>
      </c>
      <c r="S482" s="44">
        <f ca="1">月次返済表!I484</f>
        <v>0</v>
      </c>
      <c r="T482" s="44">
        <f ca="1">月次返済表!R484</f>
        <v>0</v>
      </c>
      <c r="U482" s="44">
        <f ca="1">月次返済表!G484</f>
        <v>0</v>
      </c>
      <c r="V482" s="44"/>
      <c r="W482" s="44">
        <f t="shared" ca="1" si="12"/>
        <v>150233.43899516284</v>
      </c>
      <c r="X482" s="44">
        <f t="shared" ca="1" si="13"/>
        <v>150233.43899516284</v>
      </c>
    </row>
    <row r="483" spans="15:24">
      <c r="O483" s="43" t="str">
        <f>TEXT((月次返済表!A485-1)/12,"0.0")</f>
        <v>39.9</v>
      </c>
      <c r="P483" s="44">
        <f ca="1">月次返済表!S485</f>
        <v>0</v>
      </c>
      <c r="Q483" s="44">
        <f ca="1">月次返済表!T485</f>
        <v>0</v>
      </c>
      <c r="R483" s="44">
        <f ca="1">月次返済表!H485</f>
        <v>0</v>
      </c>
      <c r="S483" s="44">
        <f ca="1">月次返済表!I485</f>
        <v>0</v>
      </c>
      <c r="T483" s="44">
        <f ca="1">月次返済表!R485</f>
        <v>0</v>
      </c>
      <c r="U483" s="44">
        <f ca="1">月次返済表!G485</f>
        <v>0</v>
      </c>
      <c r="V483" s="44"/>
      <c r="W483" s="44">
        <f t="shared" ca="1" si="12"/>
        <v>150233.43899516284</v>
      </c>
      <c r="X483" s="44">
        <f t="shared" ca="1" si="13"/>
        <v>150233.43899516284</v>
      </c>
    </row>
    <row r="484" spans="15:24">
      <c r="O484" s="43" t="str">
        <f>TEXT((月次返済表!A486-1)/12,"0.0")</f>
        <v>40.0</v>
      </c>
      <c r="P484" s="44">
        <f ca="1">月次返済表!S486</f>
        <v>0</v>
      </c>
      <c r="Q484" s="44">
        <f ca="1">月次返済表!T486</f>
        <v>0</v>
      </c>
      <c r="R484" s="44">
        <f ca="1">月次返済表!H486</f>
        <v>0</v>
      </c>
      <c r="S484" s="44">
        <f ca="1">月次返済表!I486</f>
        <v>0</v>
      </c>
      <c r="T484" s="44">
        <f ca="1">月次返済表!R486</f>
        <v>0</v>
      </c>
      <c r="U484" s="44">
        <f ca="1">月次返済表!G486</f>
        <v>0</v>
      </c>
      <c r="V484" s="44"/>
      <c r="W484" s="44">
        <f t="shared" ca="1" si="12"/>
        <v>150233.43899516284</v>
      </c>
      <c r="X484" s="44">
        <f t="shared" ca="1" si="13"/>
        <v>150233.43899516284</v>
      </c>
    </row>
    <row r="485" spans="15:24">
      <c r="O485" s="43" t="str">
        <f>TEXT((月次返済表!A487-1)/12,"0.0")</f>
        <v>40.1</v>
      </c>
      <c r="P485" s="44">
        <f ca="1">月次返済表!S487</f>
        <v>0</v>
      </c>
      <c r="Q485" s="44">
        <f ca="1">月次返済表!T487</f>
        <v>0</v>
      </c>
      <c r="R485" s="44">
        <f ca="1">月次返済表!H487</f>
        <v>0</v>
      </c>
      <c r="S485" s="44">
        <f ca="1">月次返済表!I487</f>
        <v>0</v>
      </c>
      <c r="T485" s="44">
        <f ca="1">月次返済表!R487</f>
        <v>0</v>
      </c>
      <c r="U485" s="44">
        <f ca="1">月次返済表!G487</f>
        <v>0</v>
      </c>
      <c r="V485" s="44"/>
      <c r="W485" s="44">
        <f t="shared" ca="1" si="12"/>
        <v>150233.43899516284</v>
      </c>
      <c r="X485" s="44">
        <f t="shared" ca="1" si="13"/>
        <v>150233.43899516284</v>
      </c>
    </row>
    <row r="486" spans="15:24">
      <c r="O486" s="43" t="str">
        <f>TEXT((月次返済表!A488-1)/12,"0.0")</f>
        <v>40.2</v>
      </c>
      <c r="P486" s="44">
        <f ca="1">月次返済表!S488</f>
        <v>0</v>
      </c>
      <c r="Q486" s="44">
        <f ca="1">月次返済表!T488</f>
        <v>0</v>
      </c>
      <c r="R486" s="44">
        <f ca="1">月次返済表!H488</f>
        <v>0</v>
      </c>
      <c r="S486" s="44">
        <f ca="1">月次返済表!I488</f>
        <v>0</v>
      </c>
      <c r="T486" s="44">
        <f ca="1">月次返済表!R488</f>
        <v>0</v>
      </c>
      <c r="U486" s="44">
        <f ca="1">月次返済表!G488</f>
        <v>0</v>
      </c>
      <c r="V486" s="44"/>
      <c r="W486" s="44">
        <f t="shared" ca="1" si="12"/>
        <v>150233.43899516284</v>
      </c>
      <c r="X486" s="44">
        <f t="shared" ca="1" si="13"/>
        <v>150233.43899516284</v>
      </c>
    </row>
    <row r="487" spans="15:24">
      <c r="O487" s="43" t="str">
        <f>TEXT((月次返済表!A489-1)/12,"0.0")</f>
        <v>40.3</v>
      </c>
      <c r="P487" s="44">
        <f ca="1">月次返済表!S489</f>
        <v>0</v>
      </c>
      <c r="Q487" s="44">
        <f ca="1">月次返済表!T489</f>
        <v>0</v>
      </c>
      <c r="R487" s="44">
        <f ca="1">月次返済表!H489</f>
        <v>0</v>
      </c>
      <c r="S487" s="44">
        <f ca="1">月次返済表!I489</f>
        <v>0</v>
      </c>
      <c r="T487" s="44">
        <f ca="1">月次返済表!R489</f>
        <v>0</v>
      </c>
      <c r="U487" s="44">
        <f ca="1">月次返済表!G489</f>
        <v>0</v>
      </c>
      <c r="V487" s="44"/>
      <c r="W487" s="44">
        <f t="shared" ca="1" si="12"/>
        <v>150233.43899516284</v>
      </c>
      <c r="X487" s="44">
        <f t="shared" ca="1" si="13"/>
        <v>150233.43899516284</v>
      </c>
    </row>
    <row r="488" spans="15:24">
      <c r="O488" s="43" t="str">
        <f>TEXT((月次返済表!A490-1)/12,"0.0")</f>
        <v>40.3</v>
      </c>
      <c r="P488" s="44">
        <f ca="1">月次返済表!S490</f>
        <v>0</v>
      </c>
      <c r="Q488" s="44">
        <f ca="1">月次返済表!T490</f>
        <v>0</v>
      </c>
      <c r="R488" s="44">
        <f ca="1">月次返済表!H490</f>
        <v>0</v>
      </c>
      <c r="S488" s="44">
        <f ca="1">月次返済表!I490</f>
        <v>0</v>
      </c>
      <c r="T488" s="44">
        <f ca="1">月次返済表!R490</f>
        <v>0</v>
      </c>
      <c r="U488" s="44">
        <f ca="1">月次返済表!G490</f>
        <v>0</v>
      </c>
      <c r="V488" s="44"/>
      <c r="W488" s="44">
        <f t="shared" ca="1" si="12"/>
        <v>150233.43899516284</v>
      </c>
      <c r="X488" s="44">
        <f t="shared" ca="1" si="13"/>
        <v>150233.43899516284</v>
      </c>
    </row>
    <row r="489" spans="15:24">
      <c r="O489" s="43" t="str">
        <f>TEXT((月次返済表!A491-1)/12,"0.0")</f>
        <v>40.4</v>
      </c>
      <c r="P489" s="44">
        <f ca="1">月次返済表!S491</f>
        <v>0</v>
      </c>
      <c r="Q489" s="44">
        <f ca="1">月次返済表!T491</f>
        <v>0</v>
      </c>
      <c r="R489" s="44">
        <f ca="1">月次返済表!H491</f>
        <v>0</v>
      </c>
      <c r="S489" s="44">
        <f ca="1">月次返済表!I491</f>
        <v>0</v>
      </c>
      <c r="T489" s="44">
        <f ca="1">月次返済表!R491</f>
        <v>0</v>
      </c>
      <c r="U489" s="44">
        <f ca="1">月次返済表!G491</f>
        <v>0</v>
      </c>
      <c r="V489" s="44"/>
      <c r="W489" s="44">
        <f t="shared" ca="1" si="12"/>
        <v>150233.43899516284</v>
      </c>
      <c r="X489" s="44">
        <f t="shared" ca="1" si="13"/>
        <v>150233.43899516284</v>
      </c>
    </row>
    <row r="490" spans="15:24">
      <c r="O490" s="43" t="str">
        <f>TEXT((月次返済表!A492-1)/12,"0.0")</f>
        <v>40.5</v>
      </c>
      <c r="P490" s="44">
        <f ca="1">月次返済表!S492</f>
        <v>0</v>
      </c>
      <c r="Q490" s="44">
        <f ca="1">月次返済表!T492</f>
        <v>0</v>
      </c>
      <c r="R490" s="44">
        <f ca="1">月次返済表!H492</f>
        <v>0</v>
      </c>
      <c r="S490" s="44">
        <f ca="1">月次返済表!I492</f>
        <v>0</v>
      </c>
      <c r="T490" s="44">
        <f ca="1">月次返済表!R492</f>
        <v>0</v>
      </c>
      <c r="U490" s="44">
        <f ca="1">月次返済表!G492</f>
        <v>0</v>
      </c>
      <c r="V490" s="44"/>
      <c r="W490" s="44">
        <f t="shared" ca="1" si="12"/>
        <v>150233.43899516284</v>
      </c>
      <c r="X490" s="44">
        <f t="shared" ca="1" si="13"/>
        <v>150233.43899516284</v>
      </c>
    </row>
    <row r="491" spans="15:24">
      <c r="O491" s="43" t="str">
        <f>TEXT((月次返済表!A493-1)/12,"0.0")</f>
        <v>40.6</v>
      </c>
      <c r="P491" s="44">
        <f ca="1">月次返済表!S493</f>
        <v>0</v>
      </c>
      <c r="Q491" s="44">
        <f ca="1">月次返済表!T493</f>
        <v>0</v>
      </c>
      <c r="R491" s="44">
        <f ca="1">月次返済表!H493</f>
        <v>0</v>
      </c>
      <c r="S491" s="44">
        <f ca="1">月次返済表!I493</f>
        <v>0</v>
      </c>
      <c r="T491" s="44">
        <f ca="1">月次返済表!R493</f>
        <v>0</v>
      </c>
      <c r="U491" s="44">
        <f ca="1">月次返済表!G493</f>
        <v>0</v>
      </c>
      <c r="V491" s="44"/>
      <c r="W491" s="44">
        <f t="shared" ca="1" si="12"/>
        <v>150233.43899516284</v>
      </c>
      <c r="X491" s="44">
        <f t="shared" ca="1" si="13"/>
        <v>150233.43899516284</v>
      </c>
    </row>
    <row r="492" spans="15:24">
      <c r="O492" s="43" t="str">
        <f>TEXT((月次返済表!A494-1)/12,"0.0")</f>
        <v>40.7</v>
      </c>
      <c r="P492" s="44">
        <f ca="1">月次返済表!S494</f>
        <v>0</v>
      </c>
      <c r="Q492" s="44">
        <f ca="1">月次返済表!T494</f>
        <v>0</v>
      </c>
      <c r="R492" s="44">
        <f ca="1">月次返済表!H494</f>
        <v>0</v>
      </c>
      <c r="S492" s="44">
        <f ca="1">月次返済表!I494</f>
        <v>0</v>
      </c>
      <c r="T492" s="44">
        <f ca="1">月次返済表!R494</f>
        <v>0</v>
      </c>
      <c r="U492" s="44">
        <f ca="1">月次返済表!G494</f>
        <v>0</v>
      </c>
      <c r="V492" s="44"/>
      <c r="W492" s="44">
        <f t="shared" ca="1" si="12"/>
        <v>150233.43899516284</v>
      </c>
      <c r="X492" s="44">
        <f t="shared" ca="1" si="13"/>
        <v>150233.43899516284</v>
      </c>
    </row>
    <row r="493" spans="15:24">
      <c r="O493" s="43" t="str">
        <f>TEXT((月次返済表!A495-1)/12,"0.0")</f>
        <v>40.8</v>
      </c>
      <c r="P493" s="44">
        <f ca="1">月次返済表!S495</f>
        <v>0</v>
      </c>
      <c r="Q493" s="44">
        <f ca="1">月次返済表!T495</f>
        <v>0</v>
      </c>
      <c r="R493" s="44">
        <f ca="1">月次返済表!H495</f>
        <v>0</v>
      </c>
      <c r="S493" s="44">
        <f ca="1">月次返済表!I495</f>
        <v>0</v>
      </c>
      <c r="T493" s="44">
        <f ca="1">月次返済表!R495</f>
        <v>0</v>
      </c>
      <c r="U493" s="44">
        <f ca="1">月次返済表!G495</f>
        <v>0</v>
      </c>
      <c r="V493" s="44"/>
      <c r="W493" s="44">
        <f t="shared" ca="1" si="12"/>
        <v>150233.43899516284</v>
      </c>
      <c r="X493" s="44">
        <f t="shared" ca="1" si="13"/>
        <v>150233.43899516284</v>
      </c>
    </row>
    <row r="494" spans="15:24">
      <c r="O494" s="43" t="str">
        <f>TEXT((月次返済表!A496-1)/12,"0.0")</f>
        <v>40.8</v>
      </c>
      <c r="P494" s="44">
        <f ca="1">月次返済表!S496</f>
        <v>0</v>
      </c>
      <c r="Q494" s="44">
        <f ca="1">月次返済表!T496</f>
        <v>0</v>
      </c>
      <c r="R494" s="44">
        <f ca="1">月次返済表!H496</f>
        <v>0</v>
      </c>
      <c r="S494" s="44">
        <f ca="1">月次返済表!I496</f>
        <v>0</v>
      </c>
      <c r="T494" s="44">
        <f ca="1">月次返済表!R496</f>
        <v>0</v>
      </c>
      <c r="U494" s="44">
        <f ca="1">月次返済表!G496</f>
        <v>0</v>
      </c>
      <c r="V494" s="44"/>
      <c r="W494" s="44">
        <f t="shared" ca="1" si="12"/>
        <v>150233.43899516284</v>
      </c>
      <c r="X494" s="44">
        <f t="shared" ca="1" si="13"/>
        <v>150233.43899516284</v>
      </c>
    </row>
    <row r="495" spans="15:24">
      <c r="O495" s="43" t="str">
        <f>TEXT((月次返済表!A497-1)/12,"0.0")</f>
        <v>40.9</v>
      </c>
      <c r="P495" s="44">
        <f ca="1">月次返済表!S497</f>
        <v>0</v>
      </c>
      <c r="Q495" s="44">
        <f ca="1">月次返済表!T497</f>
        <v>0</v>
      </c>
      <c r="R495" s="44">
        <f ca="1">月次返済表!H497</f>
        <v>0</v>
      </c>
      <c r="S495" s="44">
        <f ca="1">月次返済表!I497</f>
        <v>0</v>
      </c>
      <c r="T495" s="44">
        <f ca="1">月次返済表!R497</f>
        <v>0</v>
      </c>
      <c r="U495" s="44">
        <f ca="1">月次返済表!G497</f>
        <v>0</v>
      </c>
      <c r="V495" s="44"/>
      <c r="W495" s="44">
        <f t="shared" ca="1" si="12"/>
        <v>150233.43899516284</v>
      </c>
      <c r="X495" s="44">
        <f t="shared" ca="1" si="13"/>
        <v>150233.43899516284</v>
      </c>
    </row>
    <row r="496" spans="15:24">
      <c r="O496" s="43" t="str">
        <f>TEXT((月次返済表!A498-1)/12,"0.0")</f>
        <v>41.0</v>
      </c>
      <c r="P496" s="44">
        <f ca="1">月次返済表!S498</f>
        <v>0</v>
      </c>
      <c r="Q496" s="44">
        <f ca="1">月次返済表!T498</f>
        <v>0</v>
      </c>
      <c r="R496" s="44">
        <f ca="1">月次返済表!H498</f>
        <v>0</v>
      </c>
      <c r="S496" s="44">
        <f ca="1">月次返済表!I498</f>
        <v>0</v>
      </c>
      <c r="T496" s="44">
        <f ca="1">月次返済表!R498</f>
        <v>0</v>
      </c>
      <c r="U496" s="44">
        <f ca="1">月次返済表!G498</f>
        <v>0</v>
      </c>
      <c r="V496" s="44"/>
      <c r="W496" s="44">
        <f t="shared" ca="1" si="12"/>
        <v>150233.43899516284</v>
      </c>
      <c r="X496" s="44">
        <f t="shared" ca="1" si="13"/>
        <v>150233.43899516284</v>
      </c>
    </row>
    <row r="497" spans="15:24">
      <c r="O497" s="43" t="str">
        <f>TEXT((月次返済表!A499-1)/12,"0.0")</f>
        <v>41.1</v>
      </c>
      <c r="P497" s="44">
        <f ca="1">月次返済表!S499</f>
        <v>0</v>
      </c>
      <c r="Q497" s="44">
        <f ca="1">月次返済表!T499</f>
        <v>0</v>
      </c>
      <c r="R497" s="44">
        <f ca="1">月次返済表!H499</f>
        <v>0</v>
      </c>
      <c r="S497" s="44">
        <f ca="1">月次返済表!I499</f>
        <v>0</v>
      </c>
      <c r="T497" s="44">
        <f ca="1">月次返済表!R499</f>
        <v>0</v>
      </c>
      <c r="U497" s="44">
        <f ca="1">月次返済表!G499</f>
        <v>0</v>
      </c>
      <c r="V497" s="44"/>
      <c r="W497" s="44">
        <f t="shared" ca="1" si="12"/>
        <v>150233.43899516284</v>
      </c>
      <c r="X497" s="44">
        <f t="shared" ca="1" si="13"/>
        <v>150233.43899516284</v>
      </c>
    </row>
    <row r="498" spans="15:24">
      <c r="O498" s="43" t="str">
        <f>TEXT((月次返済表!A500-1)/12,"0.0")</f>
        <v>41.2</v>
      </c>
      <c r="P498" s="44">
        <f ca="1">月次返済表!S500</f>
        <v>0</v>
      </c>
      <c r="Q498" s="44">
        <f ca="1">月次返済表!T500</f>
        <v>0</v>
      </c>
      <c r="R498" s="44">
        <f ca="1">月次返済表!H500</f>
        <v>0</v>
      </c>
      <c r="S498" s="44">
        <f ca="1">月次返済表!I500</f>
        <v>0</v>
      </c>
      <c r="T498" s="44">
        <f ca="1">月次返済表!R500</f>
        <v>0</v>
      </c>
      <c r="U498" s="44">
        <f ca="1">月次返済表!G500</f>
        <v>0</v>
      </c>
      <c r="V498" s="44"/>
      <c r="W498" s="44">
        <f t="shared" ca="1" si="12"/>
        <v>150233.43899516284</v>
      </c>
      <c r="X498" s="44">
        <f t="shared" ca="1" si="13"/>
        <v>150233.43899516284</v>
      </c>
    </row>
    <row r="499" spans="15:24">
      <c r="O499" s="43" t="str">
        <f>TEXT((月次返済表!A501-1)/12,"0.0")</f>
        <v>41.3</v>
      </c>
      <c r="P499" s="44">
        <f ca="1">月次返済表!S501</f>
        <v>0</v>
      </c>
      <c r="Q499" s="44">
        <f ca="1">月次返済表!T501</f>
        <v>0</v>
      </c>
      <c r="R499" s="44">
        <f ca="1">月次返済表!H501</f>
        <v>0</v>
      </c>
      <c r="S499" s="44">
        <f ca="1">月次返済表!I501</f>
        <v>0</v>
      </c>
      <c r="T499" s="44">
        <f ca="1">月次返済表!R501</f>
        <v>0</v>
      </c>
      <c r="U499" s="44">
        <f ca="1">月次返済表!G501</f>
        <v>0</v>
      </c>
      <c r="V499" s="44"/>
      <c r="W499" s="44">
        <f t="shared" ca="1" si="12"/>
        <v>150233.43899516284</v>
      </c>
      <c r="X499" s="44">
        <f t="shared" ca="1" si="13"/>
        <v>150233.43899516284</v>
      </c>
    </row>
    <row r="500" spans="15:24">
      <c r="O500" s="43" t="str">
        <f>TEXT((月次返済表!A502-1)/12,"0.0")</f>
        <v>41.3</v>
      </c>
      <c r="P500" s="44">
        <f ca="1">月次返済表!S502</f>
        <v>0</v>
      </c>
      <c r="Q500" s="44">
        <f ca="1">月次返済表!T502</f>
        <v>0</v>
      </c>
      <c r="R500" s="44">
        <f ca="1">月次返済表!H502</f>
        <v>0</v>
      </c>
      <c r="S500" s="44">
        <f ca="1">月次返済表!I502</f>
        <v>0</v>
      </c>
      <c r="T500" s="44">
        <f ca="1">月次返済表!R502</f>
        <v>0</v>
      </c>
      <c r="U500" s="44">
        <f ca="1">月次返済表!G502</f>
        <v>0</v>
      </c>
      <c r="V500" s="44"/>
      <c r="W500" s="44">
        <f t="shared" ca="1" si="12"/>
        <v>150233.43899516284</v>
      </c>
      <c r="X500" s="44">
        <f t="shared" ca="1" si="13"/>
        <v>150233.43899516284</v>
      </c>
    </row>
    <row r="501" spans="15:24">
      <c r="O501" s="43" t="str">
        <f>TEXT((月次返済表!A503-1)/12,"0.0")</f>
        <v>41.4</v>
      </c>
      <c r="P501" s="44">
        <f ca="1">月次返済表!S503</f>
        <v>0</v>
      </c>
      <c r="Q501" s="44">
        <f ca="1">月次返済表!T503</f>
        <v>0</v>
      </c>
      <c r="R501" s="44">
        <f ca="1">月次返済表!H503</f>
        <v>0</v>
      </c>
      <c r="S501" s="44">
        <f ca="1">月次返済表!I503</f>
        <v>0</v>
      </c>
      <c r="T501" s="44">
        <f ca="1">月次返済表!R503</f>
        <v>0</v>
      </c>
      <c r="U501" s="44">
        <f ca="1">月次返済表!G503</f>
        <v>0</v>
      </c>
      <c r="V501" s="44"/>
      <c r="W501" s="44">
        <f t="shared" ca="1" si="12"/>
        <v>150233.43899516284</v>
      </c>
      <c r="X501" s="44">
        <f t="shared" ca="1" si="13"/>
        <v>150233.43899516284</v>
      </c>
    </row>
    <row r="502" spans="15:24">
      <c r="O502" s="43" t="str">
        <f>TEXT((月次返済表!A504-1)/12,"0.0")</f>
        <v>41.5</v>
      </c>
      <c r="P502" s="44">
        <f ca="1">月次返済表!S504</f>
        <v>0</v>
      </c>
      <c r="Q502" s="44">
        <f ca="1">月次返済表!T504</f>
        <v>0</v>
      </c>
      <c r="R502" s="44">
        <f ca="1">月次返済表!H504</f>
        <v>0</v>
      </c>
      <c r="S502" s="44">
        <f ca="1">月次返済表!I504</f>
        <v>0</v>
      </c>
      <c r="T502" s="44">
        <f ca="1">月次返済表!R504</f>
        <v>0</v>
      </c>
      <c r="U502" s="44">
        <f ca="1">月次返済表!G504</f>
        <v>0</v>
      </c>
      <c r="V502" s="44"/>
      <c r="W502" s="44">
        <f t="shared" ca="1" si="12"/>
        <v>150233.43899516284</v>
      </c>
      <c r="X502" s="44">
        <f t="shared" ca="1" si="13"/>
        <v>150233.43899516284</v>
      </c>
    </row>
    <row r="503" spans="15:24">
      <c r="O503" s="43" t="str">
        <f>TEXT((月次返済表!A505-1)/12,"0.0")</f>
        <v>41.6</v>
      </c>
      <c r="P503" s="44">
        <f ca="1">月次返済表!S505</f>
        <v>0</v>
      </c>
      <c r="Q503" s="44">
        <f ca="1">月次返済表!T505</f>
        <v>0</v>
      </c>
      <c r="R503" s="44">
        <f ca="1">月次返済表!H505</f>
        <v>0</v>
      </c>
      <c r="S503" s="44">
        <f ca="1">月次返済表!I505</f>
        <v>0</v>
      </c>
      <c r="T503" s="44">
        <f ca="1">月次返済表!R505</f>
        <v>0</v>
      </c>
      <c r="U503" s="44">
        <f ca="1">月次返済表!G505</f>
        <v>0</v>
      </c>
      <c r="V503" s="44"/>
      <c r="W503" s="44">
        <f t="shared" ca="1" si="12"/>
        <v>150233.43899516284</v>
      </c>
      <c r="X503" s="44">
        <f t="shared" ca="1" si="13"/>
        <v>150233.43899516284</v>
      </c>
    </row>
    <row r="504" spans="15:24">
      <c r="O504" s="43" t="str">
        <f>TEXT((月次返済表!A506-1)/12,"0.0")</f>
        <v>41.7</v>
      </c>
      <c r="P504" s="44">
        <f ca="1">月次返済表!S506</f>
        <v>0</v>
      </c>
      <c r="Q504" s="44">
        <f ca="1">月次返済表!T506</f>
        <v>0</v>
      </c>
      <c r="R504" s="44">
        <f ca="1">月次返済表!H506</f>
        <v>0</v>
      </c>
      <c r="S504" s="44">
        <f ca="1">月次返済表!I506</f>
        <v>0</v>
      </c>
      <c r="T504" s="44">
        <f ca="1">月次返済表!R506</f>
        <v>0</v>
      </c>
      <c r="U504" s="44">
        <f ca="1">月次返済表!G506</f>
        <v>0</v>
      </c>
      <c r="V504" s="44"/>
      <c r="W504" s="44">
        <f t="shared" ca="1" si="12"/>
        <v>150233.43899516284</v>
      </c>
      <c r="X504" s="44">
        <f t="shared" ca="1" si="13"/>
        <v>150233.43899516284</v>
      </c>
    </row>
    <row r="505" spans="15:24">
      <c r="O505" s="43" t="str">
        <f>TEXT((月次返済表!A507-1)/12,"0.0")</f>
        <v>41.8</v>
      </c>
      <c r="P505" s="44">
        <f ca="1">月次返済表!S507</f>
        <v>0</v>
      </c>
      <c r="Q505" s="44">
        <f ca="1">月次返済表!T507</f>
        <v>0</v>
      </c>
      <c r="R505" s="44">
        <f ca="1">月次返済表!H507</f>
        <v>0</v>
      </c>
      <c r="S505" s="44">
        <f ca="1">月次返済表!I507</f>
        <v>0</v>
      </c>
      <c r="T505" s="44">
        <f ca="1">月次返済表!R507</f>
        <v>0</v>
      </c>
      <c r="U505" s="44">
        <f ca="1">月次返済表!G507</f>
        <v>0</v>
      </c>
      <c r="V505" s="44"/>
      <c r="W505" s="44">
        <f t="shared" ca="1" si="12"/>
        <v>150233.43899516284</v>
      </c>
      <c r="X505" s="44">
        <f t="shared" ca="1" si="13"/>
        <v>150233.43899516284</v>
      </c>
    </row>
    <row r="506" spans="15:24">
      <c r="O506" s="43" t="str">
        <f>TEXT((月次返済表!A508-1)/12,"0.0")</f>
        <v>41.8</v>
      </c>
      <c r="P506" s="44">
        <f ca="1">月次返済表!S508</f>
        <v>0</v>
      </c>
      <c r="Q506" s="44">
        <f ca="1">月次返済表!T508</f>
        <v>0</v>
      </c>
      <c r="R506" s="44">
        <f ca="1">月次返済表!H508</f>
        <v>0</v>
      </c>
      <c r="S506" s="44">
        <f ca="1">月次返済表!I508</f>
        <v>0</v>
      </c>
      <c r="T506" s="44">
        <f ca="1">月次返済表!R508</f>
        <v>0</v>
      </c>
      <c r="U506" s="44">
        <f ca="1">月次返済表!G508</f>
        <v>0</v>
      </c>
      <c r="V506" s="44"/>
      <c r="W506" s="44">
        <f t="shared" ca="1" si="12"/>
        <v>150233.43899516284</v>
      </c>
      <c r="X506" s="44">
        <f t="shared" ca="1" si="13"/>
        <v>150233.43899516284</v>
      </c>
    </row>
    <row r="507" spans="15:24">
      <c r="O507" s="43" t="str">
        <f>TEXT((月次返済表!A509-1)/12,"0.0")</f>
        <v>41.9</v>
      </c>
      <c r="P507" s="44">
        <f ca="1">月次返済表!S509</f>
        <v>0</v>
      </c>
      <c r="Q507" s="44">
        <f ca="1">月次返済表!T509</f>
        <v>0</v>
      </c>
      <c r="R507" s="44">
        <f ca="1">月次返済表!H509</f>
        <v>0</v>
      </c>
      <c r="S507" s="44">
        <f ca="1">月次返済表!I509</f>
        <v>0</v>
      </c>
      <c r="T507" s="44">
        <f ca="1">月次返済表!R509</f>
        <v>0</v>
      </c>
      <c r="U507" s="44">
        <f ca="1">月次返済表!G509</f>
        <v>0</v>
      </c>
      <c r="V507" s="44"/>
      <c r="W507" s="44">
        <f t="shared" ca="1" si="12"/>
        <v>150233.43899516284</v>
      </c>
      <c r="X507" s="44">
        <f t="shared" ca="1" si="13"/>
        <v>150233.43899516284</v>
      </c>
    </row>
    <row r="508" spans="15:24">
      <c r="O508" s="43" t="str">
        <f>TEXT((月次返済表!A510-1)/12,"0.0")</f>
        <v>42.0</v>
      </c>
      <c r="P508" s="44">
        <f ca="1">月次返済表!S510</f>
        <v>0</v>
      </c>
      <c r="Q508" s="44">
        <f ca="1">月次返済表!T510</f>
        <v>0</v>
      </c>
      <c r="R508" s="44">
        <f ca="1">月次返済表!H510</f>
        <v>0</v>
      </c>
      <c r="S508" s="44">
        <f ca="1">月次返済表!I510</f>
        <v>0</v>
      </c>
      <c r="T508" s="44">
        <f ca="1">月次返済表!R510</f>
        <v>0</v>
      </c>
      <c r="U508" s="44">
        <f ca="1">月次返済表!G510</f>
        <v>0</v>
      </c>
      <c r="V508" s="44"/>
      <c r="W508" s="44">
        <f t="shared" ca="1" si="12"/>
        <v>150233.43899516284</v>
      </c>
      <c r="X508" s="44">
        <f t="shared" ca="1" si="13"/>
        <v>150233.43899516284</v>
      </c>
    </row>
    <row r="509" spans="15:24">
      <c r="O509" s="43" t="str">
        <f>TEXT((月次返済表!A511-1)/12,"0.0")</f>
        <v>42.1</v>
      </c>
      <c r="P509" s="44">
        <f ca="1">月次返済表!S511</f>
        <v>0</v>
      </c>
      <c r="Q509" s="44">
        <f ca="1">月次返済表!T511</f>
        <v>0</v>
      </c>
      <c r="R509" s="44">
        <f ca="1">月次返済表!H511</f>
        <v>0</v>
      </c>
      <c r="S509" s="44">
        <f ca="1">月次返済表!I511</f>
        <v>0</v>
      </c>
      <c r="T509" s="44">
        <f ca="1">月次返済表!R511</f>
        <v>0</v>
      </c>
      <c r="U509" s="44">
        <f ca="1">月次返済表!G511</f>
        <v>0</v>
      </c>
      <c r="V509" s="44"/>
      <c r="W509" s="44">
        <f t="shared" ca="1" si="12"/>
        <v>150233.43899516284</v>
      </c>
      <c r="X509" s="44">
        <f t="shared" ca="1" si="13"/>
        <v>150233.43899516284</v>
      </c>
    </row>
    <row r="510" spans="15:24">
      <c r="O510" s="43" t="str">
        <f>TEXT((月次返済表!A512-1)/12,"0.0")</f>
        <v>42.2</v>
      </c>
      <c r="P510" s="44">
        <f ca="1">月次返済表!S512</f>
        <v>0</v>
      </c>
      <c r="Q510" s="44">
        <f ca="1">月次返済表!T512</f>
        <v>0</v>
      </c>
      <c r="R510" s="44">
        <f ca="1">月次返済表!H512</f>
        <v>0</v>
      </c>
      <c r="S510" s="44">
        <f ca="1">月次返済表!I512</f>
        <v>0</v>
      </c>
      <c r="T510" s="44">
        <f ca="1">月次返済表!R512</f>
        <v>0</v>
      </c>
      <c r="U510" s="44">
        <f ca="1">月次返済表!G512</f>
        <v>0</v>
      </c>
      <c r="V510" s="44"/>
      <c r="W510" s="44">
        <f t="shared" ca="1" si="12"/>
        <v>150233.43899516284</v>
      </c>
      <c r="X510" s="44">
        <f t="shared" ca="1" si="13"/>
        <v>150233.43899516284</v>
      </c>
    </row>
    <row r="511" spans="15:24">
      <c r="O511" s="43" t="str">
        <f>TEXT((月次返済表!A513-1)/12,"0.0")</f>
        <v>42.3</v>
      </c>
      <c r="P511" s="44">
        <f ca="1">月次返済表!S513</f>
        <v>0</v>
      </c>
      <c r="Q511" s="44">
        <f ca="1">月次返済表!T513</f>
        <v>0</v>
      </c>
      <c r="R511" s="44">
        <f ca="1">月次返済表!H513</f>
        <v>0</v>
      </c>
      <c r="S511" s="44">
        <f ca="1">月次返済表!I513</f>
        <v>0</v>
      </c>
      <c r="T511" s="44">
        <f ca="1">月次返済表!R513</f>
        <v>0</v>
      </c>
      <c r="U511" s="44">
        <f ca="1">月次返済表!G513</f>
        <v>0</v>
      </c>
      <c r="V511" s="44"/>
      <c r="W511" s="44">
        <f t="shared" ca="1" si="12"/>
        <v>150233.43899516284</v>
      </c>
      <c r="X511" s="44">
        <f t="shared" ca="1" si="13"/>
        <v>150233.43899516284</v>
      </c>
    </row>
    <row r="512" spans="15:24">
      <c r="O512" s="43" t="str">
        <f>TEXT((月次返済表!A514-1)/12,"0.0")</f>
        <v>42.3</v>
      </c>
      <c r="P512" s="44">
        <f ca="1">月次返済表!S514</f>
        <v>0</v>
      </c>
      <c r="Q512" s="44">
        <f ca="1">月次返済表!T514</f>
        <v>0</v>
      </c>
      <c r="R512" s="44">
        <f ca="1">月次返済表!H514</f>
        <v>0</v>
      </c>
      <c r="S512" s="44">
        <f ca="1">月次返済表!I514</f>
        <v>0</v>
      </c>
      <c r="T512" s="44">
        <f ca="1">月次返済表!R514</f>
        <v>0</v>
      </c>
      <c r="U512" s="44">
        <f ca="1">月次返済表!G514</f>
        <v>0</v>
      </c>
      <c r="V512" s="44"/>
      <c r="W512" s="44">
        <f t="shared" ca="1" si="12"/>
        <v>150233.43899516284</v>
      </c>
      <c r="X512" s="44">
        <f t="shared" ca="1" si="13"/>
        <v>150233.43899516284</v>
      </c>
    </row>
    <row r="513" spans="15:24">
      <c r="O513" s="43" t="str">
        <f>TEXT((月次返済表!A515-1)/12,"0.0")</f>
        <v>42.4</v>
      </c>
      <c r="P513" s="44">
        <f ca="1">月次返済表!S515</f>
        <v>0</v>
      </c>
      <c r="Q513" s="44">
        <f ca="1">月次返済表!T515</f>
        <v>0</v>
      </c>
      <c r="R513" s="44">
        <f ca="1">月次返済表!H515</f>
        <v>0</v>
      </c>
      <c r="S513" s="44">
        <f ca="1">月次返済表!I515</f>
        <v>0</v>
      </c>
      <c r="T513" s="44">
        <f ca="1">月次返済表!R515</f>
        <v>0</v>
      </c>
      <c r="U513" s="44">
        <f ca="1">月次返済表!G515</f>
        <v>0</v>
      </c>
      <c r="V513" s="44"/>
      <c r="W513" s="44">
        <f t="shared" ca="1" si="12"/>
        <v>150233.43899516284</v>
      </c>
      <c r="X513" s="44">
        <f t="shared" ca="1" si="13"/>
        <v>150233.43899516284</v>
      </c>
    </row>
    <row r="514" spans="15:24">
      <c r="O514" s="43" t="str">
        <f>TEXT((月次返済表!A516-1)/12,"0.0")</f>
        <v>42.5</v>
      </c>
      <c r="P514" s="44">
        <f ca="1">月次返済表!S516</f>
        <v>0</v>
      </c>
      <c r="Q514" s="44">
        <f ca="1">月次返済表!T516</f>
        <v>0</v>
      </c>
      <c r="R514" s="44">
        <f ca="1">月次返済表!H516</f>
        <v>0</v>
      </c>
      <c r="S514" s="44">
        <f ca="1">月次返済表!I516</f>
        <v>0</v>
      </c>
      <c r="T514" s="44">
        <f ca="1">月次返済表!R516</f>
        <v>0</v>
      </c>
      <c r="U514" s="44">
        <f ca="1">月次返済表!G516</f>
        <v>0</v>
      </c>
      <c r="V514" s="44"/>
      <c r="W514" s="44">
        <f t="shared" ca="1" si="12"/>
        <v>150233.43899516284</v>
      </c>
      <c r="X514" s="44">
        <f t="shared" ca="1" si="13"/>
        <v>150233.43899516284</v>
      </c>
    </row>
    <row r="515" spans="15:24">
      <c r="O515" s="43" t="str">
        <f>TEXT((月次返済表!A517-1)/12,"0.0")</f>
        <v>42.6</v>
      </c>
      <c r="P515" s="44">
        <f ca="1">月次返済表!S517</f>
        <v>0</v>
      </c>
      <c r="Q515" s="44">
        <f ca="1">月次返済表!T517</f>
        <v>0</v>
      </c>
      <c r="R515" s="44">
        <f ca="1">月次返済表!H517</f>
        <v>0</v>
      </c>
      <c r="S515" s="44">
        <f ca="1">月次返済表!I517</f>
        <v>0</v>
      </c>
      <c r="T515" s="44">
        <f ca="1">月次返済表!R517</f>
        <v>0</v>
      </c>
      <c r="U515" s="44">
        <f ca="1">月次返済表!G517</f>
        <v>0</v>
      </c>
      <c r="V515" s="44"/>
      <c r="W515" s="44">
        <f t="shared" ca="1" si="12"/>
        <v>150233.43899516284</v>
      </c>
      <c r="X515" s="44">
        <f t="shared" ca="1" si="13"/>
        <v>150233.43899516284</v>
      </c>
    </row>
    <row r="516" spans="15:24">
      <c r="O516" s="43" t="str">
        <f>TEXT((月次返済表!A518-1)/12,"0.0")</f>
        <v>42.7</v>
      </c>
      <c r="P516" s="44">
        <f ca="1">月次返済表!S518</f>
        <v>0</v>
      </c>
      <c r="Q516" s="44">
        <f ca="1">月次返済表!T518</f>
        <v>0</v>
      </c>
      <c r="R516" s="44">
        <f ca="1">月次返済表!H518</f>
        <v>0</v>
      </c>
      <c r="S516" s="44">
        <f ca="1">月次返済表!I518</f>
        <v>0</v>
      </c>
      <c r="T516" s="44">
        <f ca="1">月次返済表!R518</f>
        <v>0</v>
      </c>
      <c r="U516" s="44">
        <f ca="1">月次返済表!G518</f>
        <v>0</v>
      </c>
      <c r="V516" s="44"/>
      <c r="W516" s="44">
        <f t="shared" ref="W516:W579" ca="1" si="14">$V$6-T516</f>
        <v>150233.43899516284</v>
      </c>
      <c r="X516" s="44">
        <f t="shared" ref="X516:X579" ca="1" si="15">$V$6-U516</f>
        <v>150233.43899516284</v>
      </c>
    </row>
    <row r="517" spans="15:24">
      <c r="O517" s="43" t="str">
        <f>TEXT((月次返済表!A519-1)/12,"0.0")</f>
        <v>42.8</v>
      </c>
      <c r="P517" s="44">
        <f ca="1">月次返済表!S519</f>
        <v>0</v>
      </c>
      <c r="Q517" s="44">
        <f ca="1">月次返済表!T519</f>
        <v>0</v>
      </c>
      <c r="R517" s="44">
        <f ca="1">月次返済表!H519</f>
        <v>0</v>
      </c>
      <c r="S517" s="44">
        <f ca="1">月次返済表!I519</f>
        <v>0</v>
      </c>
      <c r="T517" s="44">
        <f ca="1">月次返済表!R519</f>
        <v>0</v>
      </c>
      <c r="U517" s="44">
        <f ca="1">月次返済表!G519</f>
        <v>0</v>
      </c>
      <c r="V517" s="44"/>
      <c r="W517" s="44">
        <f t="shared" ca="1" si="14"/>
        <v>150233.43899516284</v>
      </c>
      <c r="X517" s="44">
        <f t="shared" ca="1" si="15"/>
        <v>150233.43899516284</v>
      </c>
    </row>
    <row r="518" spans="15:24">
      <c r="O518" s="43" t="str">
        <f>TEXT((月次返済表!A520-1)/12,"0.0")</f>
        <v>42.8</v>
      </c>
      <c r="P518" s="44">
        <f ca="1">月次返済表!S520</f>
        <v>0</v>
      </c>
      <c r="Q518" s="44">
        <f ca="1">月次返済表!T520</f>
        <v>0</v>
      </c>
      <c r="R518" s="44">
        <f ca="1">月次返済表!H520</f>
        <v>0</v>
      </c>
      <c r="S518" s="44">
        <f ca="1">月次返済表!I520</f>
        <v>0</v>
      </c>
      <c r="T518" s="44">
        <f ca="1">月次返済表!R520</f>
        <v>0</v>
      </c>
      <c r="U518" s="44">
        <f ca="1">月次返済表!G520</f>
        <v>0</v>
      </c>
      <c r="V518" s="44"/>
      <c r="W518" s="44">
        <f t="shared" ca="1" si="14"/>
        <v>150233.43899516284</v>
      </c>
      <c r="X518" s="44">
        <f t="shared" ca="1" si="15"/>
        <v>150233.43899516284</v>
      </c>
    </row>
    <row r="519" spans="15:24">
      <c r="O519" s="43" t="str">
        <f>TEXT((月次返済表!A521-1)/12,"0.0")</f>
        <v>42.9</v>
      </c>
      <c r="P519" s="44">
        <f ca="1">月次返済表!S521</f>
        <v>0</v>
      </c>
      <c r="Q519" s="44">
        <f ca="1">月次返済表!T521</f>
        <v>0</v>
      </c>
      <c r="R519" s="44">
        <f ca="1">月次返済表!H521</f>
        <v>0</v>
      </c>
      <c r="S519" s="44">
        <f ca="1">月次返済表!I521</f>
        <v>0</v>
      </c>
      <c r="T519" s="44">
        <f ca="1">月次返済表!R521</f>
        <v>0</v>
      </c>
      <c r="U519" s="44">
        <f ca="1">月次返済表!G521</f>
        <v>0</v>
      </c>
      <c r="V519" s="44"/>
      <c r="W519" s="44">
        <f t="shared" ca="1" si="14"/>
        <v>150233.43899516284</v>
      </c>
      <c r="X519" s="44">
        <f t="shared" ca="1" si="15"/>
        <v>150233.43899516284</v>
      </c>
    </row>
    <row r="520" spans="15:24">
      <c r="O520" s="43" t="str">
        <f>TEXT((月次返済表!A522-1)/12,"0.0")</f>
        <v>43.0</v>
      </c>
      <c r="P520" s="44">
        <f ca="1">月次返済表!S522</f>
        <v>0</v>
      </c>
      <c r="Q520" s="44">
        <f ca="1">月次返済表!T522</f>
        <v>0</v>
      </c>
      <c r="R520" s="44">
        <f ca="1">月次返済表!H522</f>
        <v>0</v>
      </c>
      <c r="S520" s="44">
        <f ca="1">月次返済表!I522</f>
        <v>0</v>
      </c>
      <c r="T520" s="44">
        <f ca="1">月次返済表!R522</f>
        <v>0</v>
      </c>
      <c r="U520" s="44">
        <f ca="1">月次返済表!G522</f>
        <v>0</v>
      </c>
      <c r="V520" s="44"/>
      <c r="W520" s="44">
        <f t="shared" ca="1" si="14"/>
        <v>150233.43899516284</v>
      </c>
      <c r="X520" s="44">
        <f t="shared" ca="1" si="15"/>
        <v>150233.43899516284</v>
      </c>
    </row>
    <row r="521" spans="15:24">
      <c r="O521" s="43" t="str">
        <f>TEXT((月次返済表!A523-1)/12,"0.0")</f>
        <v>43.1</v>
      </c>
      <c r="P521" s="44">
        <f ca="1">月次返済表!S523</f>
        <v>0</v>
      </c>
      <c r="Q521" s="44">
        <f ca="1">月次返済表!T523</f>
        <v>0</v>
      </c>
      <c r="R521" s="44">
        <f ca="1">月次返済表!H523</f>
        <v>0</v>
      </c>
      <c r="S521" s="44">
        <f ca="1">月次返済表!I523</f>
        <v>0</v>
      </c>
      <c r="T521" s="44">
        <f ca="1">月次返済表!R523</f>
        <v>0</v>
      </c>
      <c r="U521" s="44">
        <f ca="1">月次返済表!G523</f>
        <v>0</v>
      </c>
      <c r="V521" s="44"/>
      <c r="W521" s="44">
        <f t="shared" ca="1" si="14"/>
        <v>150233.43899516284</v>
      </c>
      <c r="X521" s="44">
        <f t="shared" ca="1" si="15"/>
        <v>150233.43899516284</v>
      </c>
    </row>
    <row r="522" spans="15:24">
      <c r="O522" s="43" t="str">
        <f>TEXT((月次返済表!A524-1)/12,"0.0")</f>
        <v>43.2</v>
      </c>
      <c r="P522" s="44">
        <f ca="1">月次返済表!S524</f>
        <v>0</v>
      </c>
      <c r="Q522" s="44">
        <f ca="1">月次返済表!T524</f>
        <v>0</v>
      </c>
      <c r="R522" s="44">
        <f ca="1">月次返済表!H524</f>
        <v>0</v>
      </c>
      <c r="S522" s="44">
        <f ca="1">月次返済表!I524</f>
        <v>0</v>
      </c>
      <c r="T522" s="44">
        <f ca="1">月次返済表!R524</f>
        <v>0</v>
      </c>
      <c r="U522" s="44">
        <f ca="1">月次返済表!G524</f>
        <v>0</v>
      </c>
      <c r="V522" s="44"/>
      <c r="W522" s="44">
        <f t="shared" ca="1" si="14"/>
        <v>150233.43899516284</v>
      </c>
      <c r="X522" s="44">
        <f t="shared" ca="1" si="15"/>
        <v>150233.43899516284</v>
      </c>
    </row>
    <row r="523" spans="15:24">
      <c r="O523" s="43" t="str">
        <f>TEXT((月次返済表!A525-1)/12,"0.0")</f>
        <v>43.3</v>
      </c>
      <c r="P523" s="44">
        <f ca="1">月次返済表!S525</f>
        <v>0</v>
      </c>
      <c r="Q523" s="44">
        <f ca="1">月次返済表!T525</f>
        <v>0</v>
      </c>
      <c r="R523" s="44">
        <f ca="1">月次返済表!H525</f>
        <v>0</v>
      </c>
      <c r="S523" s="44">
        <f ca="1">月次返済表!I525</f>
        <v>0</v>
      </c>
      <c r="T523" s="44">
        <f ca="1">月次返済表!R525</f>
        <v>0</v>
      </c>
      <c r="U523" s="44">
        <f ca="1">月次返済表!G525</f>
        <v>0</v>
      </c>
      <c r="V523" s="44"/>
      <c r="W523" s="44">
        <f t="shared" ca="1" si="14"/>
        <v>150233.43899516284</v>
      </c>
      <c r="X523" s="44">
        <f t="shared" ca="1" si="15"/>
        <v>150233.43899516284</v>
      </c>
    </row>
    <row r="524" spans="15:24">
      <c r="O524" s="43" t="str">
        <f>TEXT((月次返済表!A526-1)/12,"0.0")</f>
        <v>43.3</v>
      </c>
      <c r="P524" s="44">
        <f ca="1">月次返済表!S526</f>
        <v>0</v>
      </c>
      <c r="Q524" s="44">
        <f ca="1">月次返済表!T526</f>
        <v>0</v>
      </c>
      <c r="R524" s="44">
        <f ca="1">月次返済表!H526</f>
        <v>0</v>
      </c>
      <c r="S524" s="44">
        <f ca="1">月次返済表!I526</f>
        <v>0</v>
      </c>
      <c r="T524" s="44">
        <f ca="1">月次返済表!R526</f>
        <v>0</v>
      </c>
      <c r="U524" s="44">
        <f ca="1">月次返済表!G526</f>
        <v>0</v>
      </c>
      <c r="V524" s="44"/>
      <c r="W524" s="44">
        <f t="shared" ca="1" si="14"/>
        <v>150233.43899516284</v>
      </c>
      <c r="X524" s="44">
        <f t="shared" ca="1" si="15"/>
        <v>150233.43899516284</v>
      </c>
    </row>
    <row r="525" spans="15:24">
      <c r="O525" s="43" t="str">
        <f>TEXT((月次返済表!A527-1)/12,"0.0")</f>
        <v>43.4</v>
      </c>
      <c r="P525" s="44">
        <f ca="1">月次返済表!S527</f>
        <v>0</v>
      </c>
      <c r="Q525" s="44">
        <f ca="1">月次返済表!T527</f>
        <v>0</v>
      </c>
      <c r="R525" s="44">
        <f ca="1">月次返済表!H527</f>
        <v>0</v>
      </c>
      <c r="S525" s="44">
        <f ca="1">月次返済表!I527</f>
        <v>0</v>
      </c>
      <c r="T525" s="44">
        <f ca="1">月次返済表!R527</f>
        <v>0</v>
      </c>
      <c r="U525" s="44">
        <f ca="1">月次返済表!G527</f>
        <v>0</v>
      </c>
      <c r="V525" s="44"/>
      <c r="W525" s="44">
        <f t="shared" ca="1" si="14"/>
        <v>150233.43899516284</v>
      </c>
      <c r="X525" s="44">
        <f t="shared" ca="1" si="15"/>
        <v>150233.43899516284</v>
      </c>
    </row>
    <row r="526" spans="15:24">
      <c r="O526" s="43" t="str">
        <f>TEXT((月次返済表!A528-1)/12,"0.0")</f>
        <v>43.5</v>
      </c>
      <c r="P526" s="44">
        <f ca="1">月次返済表!S528</f>
        <v>0</v>
      </c>
      <c r="Q526" s="44">
        <f ca="1">月次返済表!T528</f>
        <v>0</v>
      </c>
      <c r="R526" s="44">
        <f ca="1">月次返済表!H528</f>
        <v>0</v>
      </c>
      <c r="S526" s="44">
        <f ca="1">月次返済表!I528</f>
        <v>0</v>
      </c>
      <c r="T526" s="44">
        <f ca="1">月次返済表!R528</f>
        <v>0</v>
      </c>
      <c r="U526" s="44">
        <f ca="1">月次返済表!G528</f>
        <v>0</v>
      </c>
      <c r="V526" s="44"/>
      <c r="W526" s="44">
        <f t="shared" ca="1" si="14"/>
        <v>150233.43899516284</v>
      </c>
      <c r="X526" s="44">
        <f t="shared" ca="1" si="15"/>
        <v>150233.43899516284</v>
      </c>
    </row>
    <row r="527" spans="15:24">
      <c r="O527" s="43" t="str">
        <f>TEXT((月次返済表!A529-1)/12,"0.0")</f>
        <v>43.6</v>
      </c>
      <c r="P527" s="44">
        <f ca="1">月次返済表!S529</f>
        <v>0</v>
      </c>
      <c r="Q527" s="44">
        <f ca="1">月次返済表!T529</f>
        <v>0</v>
      </c>
      <c r="R527" s="44">
        <f ca="1">月次返済表!H529</f>
        <v>0</v>
      </c>
      <c r="S527" s="44">
        <f ca="1">月次返済表!I529</f>
        <v>0</v>
      </c>
      <c r="T527" s="44">
        <f ca="1">月次返済表!R529</f>
        <v>0</v>
      </c>
      <c r="U527" s="44">
        <f ca="1">月次返済表!G529</f>
        <v>0</v>
      </c>
      <c r="V527" s="44"/>
      <c r="W527" s="44">
        <f t="shared" ca="1" si="14"/>
        <v>150233.43899516284</v>
      </c>
      <c r="X527" s="44">
        <f t="shared" ca="1" si="15"/>
        <v>150233.43899516284</v>
      </c>
    </row>
    <row r="528" spans="15:24">
      <c r="O528" s="43" t="str">
        <f>TEXT((月次返済表!A530-1)/12,"0.0")</f>
        <v>43.7</v>
      </c>
      <c r="P528" s="44">
        <f ca="1">月次返済表!S530</f>
        <v>0</v>
      </c>
      <c r="Q528" s="44">
        <f ca="1">月次返済表!T530</f>
        <v>0</v>
      </c>
      <c r="R528" s="44">
        <f ca="1">月次返済表!H530</f>
        <v>0</v>
      </c>
      <c r="S528" s="44">
        <f ca="1">月次返済表!I530</f>
        <v>0</v>
      </c>
      <c r="T528" s="44">
        <f ca="1">月次返済表!R530</f>
        <v>0</v>
      </c>
      <c r="U528" s="44">
        <f ca="1">月次返済表!G530</f>
        <v>0</v>
      </c>
      <c r="V528" s="44"/>
      <c r="W528" s="44">
        <f t="shared" ca="1" si="14"/>
        <v>150233.43899516284</v>
      </c>
      <c r="X528" s="44">
        <f t="shared" ca="1" si="15"/>
        <v>150233.43899516284</v>
      </c>
    </row>
    <row r="529" spans="15:24">
      <c r="O529" s="43" t="str">
        <f>TEXT((月次返済表!A531-1)/12,"0.0")</f>
        <v>43.8</v>
      </c>
      <c r="P529" s="44">
        <f ca="1">月次返済表!S531</f>
        <v>0</v>
      </c>
      <c r="Q529" s="44">
        <f ca="1">月次返済表!T531</f>
        <v>0</v>
      </c>
      <c r="R529" s="44">
        <f ca="1">月次返済表!H531</f>
        <v>0</v>
      </c>
      <c r="S529" s="44">
        <f ca="1">月次返済表!I531</f>
        <v>0</v>
      </c>
      <c r="T529" s="44">
        <f ca="1">月次返済表!R531</f>
        <v>0</v>
      </c>
      <c r="U529" s="44">
        <f ca="1">月次返済表!G531</f>
        <v>0</v>
      </c>
      <c r="V529" s="44"/>
      <c r="W529" s="44">
        <f t="shared" ca="1" si="14"/>
        <v>150233.43899516284</v>
      </c>
      <c r="X529" s="44">
        <f t="shared" ca="1" si="15"/>
        <v>150233.43899516284</v>
      </c>
    </row>
    <row r="530" spans="15:24">
      <c r="O530" s="43" t="str">
        <f>TEXT((月次返済表!A532-1)/12,"0.0")</f>
        <v>43.8</v>
      </c>
      <c r="P530" s="44">
        <f ca="1">月次返済表!S532</f>
        <v>0</v>
      </c>
      <c r="Q530" s="44">
        <f ca="1">月次返済表!T532</f>
        <v>0</v>
      </c>
      <c r="R530" s="44">
        <f ca="1">月次返済表!H532</f>
        <v>0</v>
      </c>
      <c r="S530" s="44">
        <f ca="1">月次返済表!I532</f>
        <v>0</v>
      </c>
      <c r="T530" s="44">
        <f ca="1">月次返済表!R532</f>
        <v>0</v>
      </c>
      <c r="U530" s="44">
        <f ca="1">月次返済表!G532</f>
        <v>0</v>
      </c>
      <c r="V530" s="44"/>
      <c r="W530" s="44">
        <f t="shared" ca="1" si="14"/>
        <v>150233.43899516284</v>
      </c>
      <c r="X530" s="44">
        <f t="shared" ca="1" si="15"/>
        <v>150233.43899516284</v>
      </c>
    </row>
    <row r="531" spans="15:24">
      <c r="O531" s="43" t="str">
        <f>TEXT((月次返済表!A533-1)/12,"0.0")</f>
        <v>43.9</v>
      </c>
      <c r="P531" s="44">
        <f ca="1">月次返済表!S533</f>
        <v>0</v>
      </c>
      <c r="Q531" s="44">
        <f ca="1">月次返済表!T533</f>
        <v>0</v>
      </c>
      <c r="R531" s="44">
        <f ca="1">月次返済表!H533</f>
        <v>0</v>
      </c>
      <c r="S531" s="44">
        <f ca="1">月次返済表!I533</f>
        <v>0</v>
      </c>
      <c r="T531" s="44">
        <f ca="1">月次返済表!R533</f>
        <v>0</v>
      </c>
      <c r="U531" s="44">
        <f ca="1">月次返済表!G533</f>
        <v>0</v>
      </c>
      <c r="V531" s="44"/>
      <c r="W531" s="44">
        <f t="shared" ca="1" si="14"/>
        <v>150233.43899516284</v>
      </c>
      <c r="X531" s="44">
        <f t="shared" ca="1" si="15"/>
        <v>150233.43899516284</v>
      </c>
    </row>
    <row r="532" spans="15:24">
      <c r="O532" s="43" t="str">
        <f>TEXT((月次返済表!A534-1)/12,"0.0")</f>
        <v>44.0</v>
      </c>
      <c r="P532" s="44">
        <f ca="1">月次返済表!S534</f>
        <v>0</v>
      </c>
      <c r="Q532" s="44">
        <f ca="1">月次返済表!T534</f>
        <v>0</v>
      </c>
      <c r="R532" s="44">
        <f ca="1">月次返済表!H534</f>
        <v>0</v>
      </c>
      <c r="S532" s="44">
        <f ca="1">月次返済表!I534</f>
        <v>0</v>
      </c>
      <c r="T532" s="44">
        <f ca="1">月次返済表!R534</f>
        <v>0</v>
      </c>
      <c r="U532" s="44">
        <f ca="1">月次返済表!G534</f>
        <v>0</v>
      </c>
      <c r="V532" s="44"/>
      <c r="W532" s="44">
        <f t="shared" ca="1" si="14"/>
        <v>150233.43899516284</v>
      </c>
      <c r="X532" s="44">
        <f t="shared" ca="1" si="15"/>
        <v>150233.43899516284</v>
      </c>
    </row>
    <row r="533" spans="15:24">
      <c r="O533" s="43" t="str">
        <f>TEXT((月次返済表!A535-1)/12,"0.0")</f>
        <v>44.1</v>
      </c>
      <c r="P533" s="44">
        <f ca="1">月次返済表!S535</f>
        <v>0</v>
      </c>
      <c r="Q533" s="44">
        <f ca="1">月次返済表!T535</f>
        <v>0</v>
      </c>
      <c r="R533" s="44">
        <f ca="1">月次返済表!H535</f>
        <v>0</v>
      </c>
      <c r="S533" s="44">
        <f ca="1">月次返済表!I535</f>
        <v>0</v>
      </c>
      <c r="T533" s="44">
        <f ca="1">月次返済表!R535</f>
        <v>0</v>
      </c>
      <c r="U533" s="44">
        <f ca="1">月次返済表!G535</f>
        <v>0</v>
      </c>
      <c r="V533" s="44"/>
      <c r="W533" s="44">
        <f t="shared" ca="1" si="14"/>
        <v>150233.43899516284</v>
      </c>
      <c r="X533" s="44">
        <f t="shared" ca="1" si="15"/>
        <v>150233.43899516284</v>
      </c>
    </row>
    <row r="534" spans="15:24">
      <c r="O534" s="43" t="str">
        <f>TEXT((月次返済表!A536-1)/12,"0.0")</f>
        <v>44.2</v>
      </c>
      <c r="P534" s="44">
        <f ca="1">月次返済表!S536</f>
        <v>0</v>
      </c>
      <c r="Q534" s="44">
        <f ca="1">月次返済表!T536</f>
        <v>0</v>
      </c>
      <c r="R534" s="44">
        <f ca="1">月次返済表!H536</f>
        <v>0</v>
      </c>
      <c r="S534" s="44">
        <f ca="1">月次返済表!I536</f>
        <v>0</v>
      </c>
      <c r="T534" s="44">
        <f ca="1">月次返済表!R536</f>
        <v>0</v>
      </c>
      <c r="U534" s="44">
        <f ca="1">月次返済表!G536</f>
        <v>0</v>
      </c>
      <c r="V534" s="44"/>
      <c r="W534" s="44">
        <f t="shared" ca="1" si="14"/>
        <v>150233.43899516284</v>
      </c>
      <c r="X534" s="44">
        <f t="shared" ca="1" si="15"/>
        <v>150233.43899516284</v>
      </c>
    </row>
    <row r="535" spans="15:24">
      <c r="O535" s="43" t="str">
        <f>TEXT((月次返済表!A537-1)/12,"0.0")</f>
        <v>44.3</v>
      </c>
      <c r="P535" s="44">
        <f ca="1">月次返済表!S537</f>
        <v>0</v>
      </c>
      <c r="Q535" s="44">
        <f ca="1">月次返済表!T537</f>
        <v>0</v>
      </c>
      <c r="R535" s="44">
        <f ca="1">月次返済表!H537</f>
        <v>0</v>
      </c>
      <c r="S535" s="44">
        <f ca="1">月次返済表!I537</f>
        <v>0</v>
      </c>
      <c r="T535" s="44">
        <f ca="1">月次返済表!R537</f>
        <v>0</v>
      </c>
      <c r="U535" s="44">
        <f ca="1">月次返済表!G537</f>
        <v>0</v>
      </c>
      <c r="V535" s="44"/>
      <c r="W535" s="44">
        <f t="shared" ca="1" si="14"/>
        <v>150233.43899516284</v>
      </c>
      <c r="X535" s="44">
        <f t="shared" ca="1" si="15"/>
        <v>150233.43899516284</v>
      </c>
    </row>
    <row r="536" spans="15:24">
      <c r="O536" s="43" t="str">
        <f>TEXT((月次返済表!A538-1)/12,"0.0")</f>
        <v>44.3</v>
      </c>
      <c r="P536" s="44">
        <f ca="1">月次返済表!S538</f>
        <v>0</v>
      </c>
      <c r="Q536" s="44">
        <f ca="1">月次返済表!T538</f>
        <v>0</v>
      </c>
      <c r="R536" s="44">
        <f ca="1">月次返済表!H538</f>
        <v>0</v>
      </c>
      <c r="S536" s="44">
        <f ca="1">月次返済表!I538</f>
        <v>0</v>
      </c>
      <c r="T536" s="44">
        <f ca="1">月次返済表!R538</f>
        <v>0</v>
      </c>
      <c r="U536" s="44">
        <f ca="1">月次返済表!G538</f>
        <v>0</v>
      </c>
      <c r="V536" s="44"/>
      <c r="W536" s="44">
        <f t="shared" ca="1" si="14"/>
        <v>150233.43899516284</v>
      </c>
      <c r="X536" s="44">
        <f t="shared" ca="1" si="15"/>
        <v>150233.43899516284</v>
      </c>
    </row>
    <row r="537" spans="15:24">
      <c r="O537" s="43" t="str">
        <f>TEXT((月次返済表!A539-1)/12,"0.0")</f>
        <v>44.4</v>
      </c>
      <c r="P537" s="44">
        <f ca="1">月次返済表!S539</f>
        <v>0</v>
      </c>
      <c r="Q537" s="44">
        <f ca="1">月次返済表!T539</f>
        <v>0</v>
      </c>
      <c r="R537" s="44">
        <f ca="1">月次返済表!H539</f>
        <v>0</v>
      </c>
      <c r="S537" s="44">
        <f ca="1">月次返済表!I539</f>
        <v>0</v>
      </c>
      <c r="T537" s="44">
        <f ca="1">月次返済表!R539</f>
        <v>0</v>
      </c>
      <c r="U537" s="44">
        <f ca="1">月次返済表!G539</f>
        <v>0</v>
      </c>
      <c r="V537" s="44"/>
      <c r="W537" s="44">
        <f t="shared" ca="1" si="14"/>
        <v>150233.43899516284</v>
      </c>
      <c r="X537" s="44">
        <f t="shared" ca="1" si="15"/>
        <v>150233.43899516284</v>
      </c>
    </row>
    <row r="538" spans="15:24">
      <c r="O538" s="43" t="str">
        <f>TEXT((月次返済表!A540-1)/12,"0.0")</f>
        <v>44.5</v>
      </c>
      <c r="P538" s="44">
        <f ca="1">月次返済表!S540</f>
        <v>0</v>
      </c>
      <c r="Q538" s="44">
        <f ca="1">月次返済表!T540</f>
        <v>0</v>
      </c>
      <c r="R538" s="44">
        <f ca="1">月次返済表!H540</f>
        <v>0</v>
      </c>
      <c r="S538" s="44">
        <f ca="1">月次返済表!I540</f>
        <v>0</v>
      </c>
      <c r="T538" s="44">
        <f ca="1">月次返済表!R540</f>
        <v>0</v>
      </c>
      <c r="U538" s="44">
        <f ca="1">月次返済表!G540</f>
        <v>0</v>
      </c>
      <c r="V538" s="44"/>
      <c r="W538" s="44">
        <f t="shared" ca="1" si="14"/>
        <v>150233.43899516284</v>
      </c>
      <c r="X538" s="44">
        <f t="shared" ca="1" si="15"/>
        <v>150233.43899516284</v>
      </c>
    </row>
    <row r="539" spans="15:24">
      <c r="O539" s="43" t="str">
        <f>TEXT((月次返済表!A541-1)/12,"0.0")</f>
        <v>44.6</v>
      </c>
      <c r="P539" s="44">
        <f ca="1">月次返済表!S541</f>
        <v>0</v>
      </c>
      <c r="Q539" s="44">
        <f ca="1">月次返済表!T541</f>
        <v>0</v>
      </c>
      <c r="R539" s="44">
        <f ca="1">月次返済表!H541</f>
        <v>0</v>
      </c>
      <c r="S539" s="44">
        <f ca="1">月次返済表!I541</f>
        <v>0</v>
      </c>
      <c r="T539" s="44">
        <f ca="1">月次返済表!R541</f>
        <v>0</v>
      </c>
      <c r="U539" s="44">
        <f ca="1">月次返済表!G541</f>
        <v>0</v>
      </c>
      <c r="V539" s="44"/>
      <c r="W539" s="44">
        <f t="shared" ca="1" si="14"/>
        <v>150233.43899516284</v>
      </c>
      <c r="X539" s="44">
        <f t="shared" ca="1" si="15"/>
        <v>150233.43899516284</v>
      </c>
    </row>
    <row r="540" spans="15:24">
      <c r="O540" s="43" t="str">
        <f>TEXT((月次返済表!A542-1)/12,"0.0")</f>
        <v>44.7</v>
      </c>
      <c r="P540" s="44">
        <f ca="1">月次返済表!S542</f>
        <v>0</v>
      </c>
      <c r="Q540" s="44">
        <f ca="1">月次返済表!T542</f>
        <v>0</v>
      </c>
      <c r="R540" s="44">
        <f ca="1">月次返済表!H542</f>
        <v>0</v>
      </c>
      <c r="S540" s="44">
        <f ca="1">月次返済表!I542</f>
        <v>0</v>
      </c>
      <c r="T540" s="44">
        <f ca="1">月次返済表!R542</f>
        <v>0</v>
      </c>
      <c r="U540" s="44">
        <f ca="1">月次返済表!G542</f>
        <v>0</v>
      </c>
      <c r="V540" s="44"/>
      <c r="W540" s="44">
        <f t="shared" ca="1" si="14"/>
        <v>150233.43899516284</v>
      </c>
      <c r="X540" s="44">
        <f t="shared" ca="1" si="15"/>
        <v>150233.43899516284</v>
      </c>
    </row>
    <row r="541" spans="15:24">
      <c r="O541" s="43" t="str">
        <f>TEXT((月次返済表!A543-1)/12,"0.0")</f>
        <v>44.8</v>
      </c>
      <c r="P541" s="44">
        <f ca="1">月次返済表!S543</f>
        <v>0</v>
      </c>
      <c r="Q541" s="44">
        <f ca="1">月次返済表!T543</f>
        <v>0</v>
      </c>
      <c r="R541" s="44">
        <f ca="1">月次返済表!H543</f>
        <v>0</v>
      </c>
      <c r="S541" s="44">
        <f ca="1">月次返済表!I543</f>
        <v>0</v>
      </c>
      <c r="T541" s="44">
        <f ca="1">月次返済表!R543</f>
        <v>0</v>
      </c>
      <c r="U541" s="44">
        <f ca="1">月次返済表!G543</f>
        <v>0</v>
      </c>
      <c r="V541" s="44"/>
      <c r="W541" s="44">
        <f t="shared" ca="1" si="14"/>
        <v>150233.43899516284</v>
      </c>
      <c r="X541" s="44">
        <f t="shared" ca="1" si="15"/>
        <v>150233.43899516284</v>
      </c>
    </row>
    <row r="542" spans="15:24">
      <c r="O542" s="43" t="str">
        <f>TEXT((月次返済表!A544-1)/12,"0.0")</f>
        <v>44.8</v>
      </c>
      <c r="P542" s="44">
        <f ca="1">月次返済表!S544</f>
        <v>0</v>
      </c>
      <c r="Q542" s="44">
        <f ca="1">月次返済表!T544</f>
        <v>0</v>
      </c>
      <c r="R542" s="44">
        <f ca="1">月次返済表!H544</f>
        <v>0</v>
      </c>
      <c r="S542" s="44">
        <f ca="1">月次返済表!I544</f>
        <v>0</v>
      </c>
      <c r="T542" s="44">
        <f ca="1">月次返済表!R544</f>
        <v>0</v>
      </c>
      <c r="U542" s="44">
        <f ca="1">月次返済表!G544</f>
        <v>0</v>
      </c>
      <c r="V542" s="44"/>
      <c r="W542" s="44">
        <f t="shared" ca="1" si="14"/>
        <v>150233.43899516284</v>
      </c>
      <c r="X542" s="44">
        <f t="shared" ca="1" si="15"/>
        <v>150233.43899516284</v>
      </c>
    </row>
    <row r="543" spans="15:24">
      <c r="O543" s="43" t="str">
        <f>TEXT((月次返済表!A545-1)/12,"0.0")</f>
        <v>44.9</v>
      </c>
      <c r="P543" s="44">
        <f ca="1">月次返済表!S545</f>
        <v>0</v>
      </c>
      <c r="Q543" s="44">
        <f ca="1">月次返済表!T545</f>
        <v>0</v>
      </c>
      <c r="R543" s="44">
        <f ca="1">月次返済表!H545</f>
        <v>0</v>
      </c>
      <c r="S543" s="44">
        <f ca="1">月次返済表!I545</f>
        <v>0</v>
      </c>
      <c r="T543" s="44">
        <f ca="1">月次返済表!R545</f>
        <v>0</v>
      </c>
      <c r="U543" s="44">
        <f ca="1">月次返済表!G545</f>
        <v>0</v>
      </c>
      <c r="V543" s="44"/>
      <c r="W543" s="44">
        <f t="shared" ca="1" si="14"/>
        <v>150233.43899516284</v>
      </c>
      <c r="X543" s="44">
        <f t="shared" ca="1" si="15"/>
        <v>150233.43899516284</v>
      </c>
    </row>
    <row r="544" spans="15:24">
      <c r="O544" s="43" t="str">
        <f>TEXT((月次返済表!A546-1)/12,"0.0")</f>
        <v>45.0</v>
      </c>
      <c r="P544" s="44">
        <f ca="1">月次返済表!S546</f>
        <v>0</v>
      </c>
      <c r="Q544" s="44">
        <f ca="1">月次返済表!T546</f>
        <v>0</v>
      </c>
      <c r="R544" s="44">
        <f ca="1">月次返済表!H546</f>
        <v>0</v>
      </c>
      <c r="S544" s="44">
        <f ca="1">月次返済表!I546</f>
        <v>0</v>
      </c>
      <c r="T544" s="44">
        <f ca="1">月次返済表!R546</f>
        <v>0</v>
      </c>
      <c r="U544" s="44">
        <f ca="1">月次返済表!G546</f>
        <v>0</v>
      </c>
      <c r="V544" s="44"/>
      <c r="W544" s="44">
        <f t="shared" ca="1" si="14"/>
        <v>150233.43899516284</v>
      </c>
      <c r="X544" s="44">
        <f t="shared" ca="1" si="15"/>
        <v>150233.43899516284</v>
      </c>
    </row>
    <row r="545" spans="15:24">
      <c r="O545" s="43" t="str">
        <f>TEXT((月次返済表!A547-1)/12,"0.0")</f>
        <v>45.1</v>
      </c>
      <c r="P545" s="44">
        <f ca="1">月次返済表!S547</f>
        <v>0</v>
      </c>
      <c r="Q545" s="44">
        <f ca="1">月次返済表!T547</f>
        <v>0</v>
      </c>
      <c r="R545" s="44">
        <f ca="1">月次返済表!H547</f>
        <v>0</v>
      </c>
      <c r="S545" s="44">
        <f ca="1">月次返済表!I547</f>
        <v>0</v>
      </c>
      <c r="T545" s="44">
        <f ca="1">月次返済表!R547</f>
        <v>0</v>
      </c>
      <c r="U545" s="44">
        <f ca="1">月次返済表!G547</f>
        <v>0</v>
      </c>
      <c r="V545" s="44"/>
      <c r="W545" s="44">
        <f t="shared" ca="1" si="14"/>
        <v>150233.43899516284</v>
      </c>
      <c r="X545" s="44">
        <f t="shared" ca="1" si="15"/>
        <v>150233.43899516284</v>
      </c>
    </row>
    <row r="546" spans="15:24">
      <c r="O546" s="43" t="str">
        <f>TEXT((月次返済表!A548-1)/12,"0.0")</f>
        <v>45.2</v>
      </c>
      <c r="P546" s="44">
        <f ca="1">月次返済表!S548</f>
        <v>0</v>
      </c>
      <c r="Q546" s="44">
        <f ca="1">月次返済表!T548</f>
        <v>0</v>
      </c>
      <c r="R546" s="44">
        <f ca="1">月次返済表!H548</f>
        <v>0</v>
      </c>
      <c r="S546" s="44">
        <f ca="1">月次返済表!I548</f>
        <v>0</v>
      </c>
      <c r="T546" s="44">
        <f ca="1">月次返済表!R548</f>
        <v>0</v>
      </c>
      <c r="U546" s="44">
        <f ca="1">月次返済表!G548</f>
        <v>0</v>
      </c>
      <c r="V546" s="44"/>
      <c r="W546" s="44">
        <f t="shared" ca="1" si="14"/>
        <v>150233.43899516284</v>
      </c>
      <c r="X546" s="44">
        <f t="shared" ca="1" si="15"/>
        <v>150233.43899516284</v>
      </c>
    </row>
    <row r="547" spans="15:24">
      <c r="O547" s="43" t="str">
        <f>TEXT((月次返済表!A549-1)/12,"0.0")</f>
        <v>45.3</v>
      </c>
      <c r="P547" s="44">
        <f ca="1">月次返済表!S549</f>
        <v>0</v>
      </c>
      <c r="Q547" s="44">
        <f ca="1">月次返済表!T549</f>
        <v>0</v>
      </c>
      <c r="R547" s="44">
        <f ca="1">月次返済表!H549</f>
        <v>0</v>
      </c>
      <c r="S547" s="44">
        <f ca="1">月次返済表!I549</f>
        <v>0</v>
      </c>
      <c r="T547" s="44">
        <f ca="1">月次返済表!R549</f>
        <v>0</v>
      </c>
      <c r="U547" s="44">
        <f ca="1">月次返済表!G549</f>
        <v>0</v>
      </c>
      <c r="V547" s="44"/>
      <c r="W547" s="44">
        <f t="shared" ca="1" si="14"/>
        <v>150233.43899516284</v>
      </c>
      <c r="X547" s="44">
        <f t="shared" ca="1" si="15"/>
        <v>150233.43899516284</v>
      </c>
    </row>
    <row r="548" spans="15:24">
      <c r="O548" s="43" t="str">
        <f>TEXT((月次返済表!A550-1)/12,"0.0")</f>
        <v>45.3</v>
      </c>
      <c r="P548" s="44">
        <f ca="1">月次返済表!S550</f>
        <v>0</v>
      </c>
      <c r="Q548" s="44">
        <f ca="1">月次返済表!T550</f>
        <v>0</v>
      </c>
      <c r="R548" s="44">
        <f ca="1">月次返済表!H550</f>
        <v>0</v>
      </c>
      <c r="S548" s="44">
        <f ca="1">月次返済表!I550</f>
        <v>0</v>
      </c>
      <c r="T548" s="44">
        <f ca="1">月次返済表!R550</f>
        <v>0</v>
      </c>
      <c r="U548" s="44">
        <f ca="1">月次返済表!G550</f>
        <v>0</v>
      </c>
      <c r="V548" s="44"/>
      <c r="W548" s="44">
        <f t="shared" ca="1" si="14"/>
        <v>150233.43899516284</v>
      </c>
      <c r="X548" s="44">
        <f t="shared" ca="1" si="15"/>
        <v>150233.43899516284</v>
      </c>
    </row>
    <row r="549" spans="15:24">
      <c r="O549" s="43" t="str">
        <f>TEXT((月次返済表!A551-1)/12,"0.0")</f>
        <v>45.4</v>
      </c>
      <c r="P549" s="44">
        <f ca="1">月次返済表!S551</f>
        <v>0</v>
      </c>
      <c r="Q549" s="44">
        <f ca="1">月次返済表!T551</f>
        <v>0</v>
      </c>
      <c r="R549" s="44">
        <f ca="1">月次返済表!H551</f>
        <v>0</v>
      </c>
      <c r="S549" s="44">
        <f ca="1">月次返済表!I551</f>
        <v>0</v>
      </c>
      <c r="T549" s="44">
        <f ca="1">月次返済表!R551</f>
        <v>0</v>
      </c>
      <c r="U549" s="44">
        <f ca="1">月次返済表!G551</f>
        <v>0</v>
      </c>
      <c r="V549" s="44"/>
      <c r="W549" s="44">
        <f t="shared" ca="1" si="14"/>
        <v>150233.43899516284</v>
      </c>
      <c r="X549" s="44">
        <f t="shared" ca="1" si="15"/>
        <v>150233.43899516284</v>
      </c>
    </row>
    <row r="550" spans="15:24">
      <c r="O550" s="43" t="str">
        <f>TEXT((月次返済表!A552-1)/12,"0.0")</f>
        <v>45.5</v>
      </c>
      <c r="P550" s="44">
        <f ca="1">月次返済表!S552</f>
        <v>0</v>
      </c>
      <c r="Q550" s="44">
        <f ca="1">月次返済表!T552</f>
        <v>0</v>
      </c>
      <c r="R550" s="44">
        <f ca="1">月次返済表!H552</f>
        <v>0</v>
      </c>
      <c r="S550" s="44">
        <f ca="1">月次返済表!I552</f>
        <v>0</v>
      </c>
      <c r="T550" s="44">
        <f ca="1">月次返済表!R552</f>
        <v>0</v>
      </c>
      <c r="U550" s="44">
        <f ca="1">月次返済表!G552</f>
        <v>0</v>
      </c>
      <c r="V550" s="44"/>
      <c r="W550" s="44">
        <f t="shared" ca="1" si="14"/>
        <v>150233.43899516284</v>
      </c>
      <c r="X550" s="44">
        <f t="shared" ca="1" si="15"/>
        <v>150233.43899516284</v>
      </c>
    </row>
    <row r="551" spans="15:24">
      <c r="O551" s="43" t="str">
        <f>TEXT((月次返済表!A553-1)/12,"0.0")</f>
        <v>45.6</v>
      </c>
      <c r="P551" s="44">
        <f ca="1">月次返済表!S553</f>
        <v>0</v>
      </c>
      <c r="Q551" s="44">
        <f ca="1">月次返済表!T553</f>
        <v>0</v>
      </c>
      <c r="R551" s="44">
        <f ca="1">月次返済表!H553</f>
        <v>0</v>
      </c>
      <c r="S551" s="44">
        <f ca="1">月次返済表!I553</f>
        <v>0</v>
      </c>
      <c r="T551" s="44">
        <f ca="1">月次返済表!R553</f>
        <v>0</v>
      </c>
      <c r="U551" s="44">
        <f ca="1">月次返済表!G553</f>
        <v>0</v>
      </c>
      <c r="V551" s="44"/>
      <c r="W551" s="44">
        <f t="shared" ca="1" si="14"/>
        <v>150233.43899516284</v>
      </c>
      <c r="X551" s="44">
        <f t="shared" ca="1" si="15"/>
        <v>150233.43899516284</v>
      </c>
    </row>
    <row r="552" spans="15:24">
      <c r="O552" s="43" t="str">
        <f>TEXT((月次返済表!A554-1)/12,"0.0")</f>
        <v>45.7</v>
      </c>
      <c r="P552" s="44">
        <f ca="1">月次返済表!S554</f>
        <v>0</v>
      </c>
      <c r="Q552" s="44">
        <f ca="1">月次返済表!T554</f>
        <v>0</v>
      </c>
      <c r="R552" s="44">
        <f ca="1">月次返済表!H554</f>
        <v>0</v>
      </c>
      <c r="S552" s="44">
        <f ca="1">月次返済表!I554</f>
        <v>0</v>
      </c>
      <c r="T552" s="44">
        <f ca="1">月次返済表!R554</f>
        <v>0</v>
      </c>
      <c r="U552" s="44">
        <f ca="1">月次返済表!G554</f>
        <v>0</v>
      </c>
      <c r="V552" s="44"/>
      <c r="W552" s="44">
        <f t="shared" ca="1" si="14"/>
        <v>150233.43899516284</v>
      </c>
      <c r="X552" s="44">
        <f t="shared" ca="1" si="15"/>
        <v>150233.43899516284</v>
      </c>
    </row>
    <row r="553" spans="15:24">
      <c r="O553" s="43" t="str">
        <f>TEXT((月次返済表!A555-1)/12,"0.0")</f>
        <v>45.8</v>
      </c>
      <c r="P553" s="44">
        <f ca="1">月次返済表!S555</f>
        <v>0</v>
      </c>
      <c r="Q553" s="44">
        <f ca="1">月次返済表!T555</f>
        <v>0</v>
      </c>
      <c r="R553" s="44">
        <f ca="1">月次返済表!H555</f>
        <v>0</v>
      </c>
      <c r="S553" s="44">
        <f ca="1">月次返済表!I555</f>
        <v>0</v>
      </c>
      <c r="T553" s="44">
        <f ca="1">月次返済表!R555</f>
        <v>0</v>
      </c>
      <c r="U553" s="44">
        <f ca="1">月次返済表!G555</f>
        <v>0</v>
      </c>
      <c r="V553" s="44"/>
      <c r="W553" s="44">
        <f t="shared" ca="1" si="14"/>
        <v>150233.43899516284</v>
      </c>
      <c r="X553" s="44">
        <f t="shared" ca="1" si="15"/>
        <v>150233.43899516284</v>
      </c>
    </row>
    <row r="554" spans="15:24">
      <c r="O554" s="43" t="str">
        <f>TEXT((月次返済表!A556-1)/12,"0.0")</f>
        <v>45.8</v>
      </c>
      <c r="P554" s="44">
        <f ca="1">月次返済表!S556</f>
        <v>0</v>
      </c>
      <c r="Q554" s="44">
        <f ca="1">月次返済表!T556</f>
        <v>0</v>
      </c>
      <c r="R554" s="44">
        <f ca="1">月次返済表!H556</f>
        <v>0</v>
      </c>
      <c r="S554" s="44">
        <f ca="1">月次返済表!I556</f>
        <v>0</v>
      </c>
      <c r="T554" s="44">
        <f ca="1">月次返済表!R556</f>
        <v>0</v>
      </c>
      <c r="U554" s="44">
        <f ca="1">月次返済表!G556</f>
        <v>0</v>
      </c>
      <c r="V554" s="44"/>
      <c r="W554" s="44">
        <f t="shared" ca="1" si="14"/>
        <v>150233.43899516284</v>
      </c>
      <c r="X554" s="44">
        <f t="shared" ca="1" si="15"/>
        <v>150233.43899516284</v>
      </c>
    </row>
    <row r="555" spans="15:24">
      <c r="O555" s="43" t="str">
        <f>TEXT((月次返済表!A557-1)/12,"0.0")</f>
        <v>45.9</v>
      </c>
      <c r="P555" s="44">
        <f ca="1">月次返済表!S557</f>
        <v>0</v>
      </c>
      <c r="Q555" s="44">
        <f ca="1">月次返済表!T557</f>
        <v>0</v>
      </c>
      <c r="R555" s="44">
        <f ca="1">月次返済表!H557</f>
        <v>0</v>
      </c>
      <c r="S555" s="44">
        <f ca="1">月次返済表!I557</f>
        <v>0</v>
      </c>
      <c r="T555" s="44">
        <f ca="1">月次返済表!R557</f>
        <v>0</v>
      </c>
      <c r="U555" s="44">
        <f ca="1">月次返済表!G557</f>
        <v>0</v>
      </c>
      <c r="V555" s="44"/>
      <c r="W555" s="44">
        <f t="shared" ca="1" si="14"/>
        <v>150233.43899516284</v>
      </c>
      <c r="X555" s="44">
        <f t="shared" ca="1" si="15"/>
        <v>150233.43899516284</v>
      </c>
    </row>
    <row r="556" spans="15:24">
      <c r="O556" s="43" t="str">
        <f>TEXT((月次返済表!A558-1)/12,"0.0")</f>
        <v>46.0</v>
      </c>
      <c r="P556" s="44">
        <f ca="1">月次返済表!S558</f>
        <v>0</v>
      </c>
      <c r="Q556" s="44">
        <f ca="1">月次返済表!T558</f>
        <v>0</v>
      </c>
      <c r="R556" s="44">
        <f ca="1">月次返済表!H558</f>
        <v>0</v>
      </c>
      <c r="S556" s="44">
        <f ca="1">月次返済表!I558</f>
        <v>0</v>
      </c>
      <c r="T556" s="44">
        <f ca="1">月次返済表!R558</f>
        <v>0</v>
      </c>
      <c r="U556" s="44">
        <f ca="1">月次返済表!G558</f>
        <v>0</v>
      </c>
      <c r="V556" s="44"/>
      <c r="W556" s="44">
        <f t="shared" ca="1" si="14"/>
        <v>150233.43899516284</v>
      </c>
      <c r="X556" s="44">
        <f t="shared" ca="1" si="15"/>
        <v>150233.43899516284</v>
      </c>
    </row>
    <row r="557" spans="15:24">
      <c r="O557" s="43" t="str">
        <f>TEXT((月次返済表!A559-1)/12,"0.0")</f>
        <v>46.1</v>
      </c>
      <c r="P557" s="44">
        <f ca="1">月次返済表!S559</f>
        <v>0</v>
      </c>
      <c r="Q557" s="44">
        <f ca="1">月次返済表!T559</f>
        <v>0</v>
      </c>
      <c r="R557" s="44">
        <f ca="1">月次返済表!H559</f>
        <v>0</v>
      </c>
      <c r="S557" s="44">
        <f ca="1">月次返済表!I559</f>
        <v>0</v>
      </c>
      <c r="T557" s="44">
        <f ca="1">月次返済表!R559</f>
        <v>0</v>
      </c>
      <c r="U557" s="44">
        <f ca="1">月次返済表!G559</f>
        <v>0</v>
      </c>
      <c r="V557" s="44"/>
      <c r="W557" s="44">
        <f t="shared" ca="1" si="14"/>
        <v>150233.43899516284</v>
      </c>
      <c r="X557" s="44">
        <f t="shared" ca="1" si="15"/>
        <v>150233.43899516284</v>
      </c>
    </row>
    <row r="558" spans="15:24">
      <c r="O558" s="43" t="str">
        <f>TEXT((月次返済表!A560-1)/12,"0.0")</f>
        <v>46.2</v>
      </c>
      <c r="P558" s="44">
        <f ca="1">月次返済表!S560</f>
        <v>0</v>
      </c>
      <c r="Q558" s="44">
        <f ca="1">月次返済表!T560</f>
        <v>0</v>
      </c>
      <c r="R558" s="44">
        <f ca="1">月次返済表!H560</f>
        <v>0</v>
      </c>
      <c r="S558" s="44">
        <f ca="1">月次返済表!I560</f>
        <v>0</v>
      </c>
      <c r="T558" s="44">
        <f ca="1">月次返済表!R560</f>
        <v>0</v>
      </c>
      <c r="U558" s="44">
        <f ca="1">月次返済表!G560</f>
        <v>0</v>
      </c>
      <c r="V558" s="44"/>
      <c r="W558" s="44">
        <f t="shared" ca="1" si="14"/>
        <v>150233.43899516284</v>
      </c>
      <c r="X558" s="44">
        <f t="shared" ca="1" si="15"/>
        <v>150233.43899516284</v>
      </c>
    </row>
    <row r="559" spans="15:24">
      <c r="O559" s="43" t="str">
        <f>TEXT((月次返済表!A561-1)/12,"0.0")</f>
        <v>46.3</v>
      </c>
      <c r="P559" s="44">
        <f ca="1">月次返済表!S561</f>
        <v>0</v>
      </c>
      <c r="Q559" s="44">
        <f ca="1">月次返済表!T561</f>
        <v>0</v>
      </c>
      <c r="R559" s="44">
        <f ca="1">月次返済表!H561</f>
        <v>0</v>
      </c>
      <c r="S559" s="44">
        <f ca="1">月次返済表!I561</f>
        <v>0</v>
      </c>
      <c r="T559" s="44">
        <f ca="1">月次返済表!R561</f>
        <v>0</v>
      </c>
      <c r="U559" s="44">
        <f ca="1">月次返済表!G561</f>
        <v>0</v>
      </c>
      <c r="V559" s="44"/>
      <c r="W559" s="44">
        <f t="shared" ca="1" si="14"/>
        <v>150233.43899516284</v>
      </c>
      <c r="X559" s="44">
        <f t="shared" ca="1" si="15"/>
        <v>150233.43899516284</v>
      </c>
    </row>
    <row r="560" spans="15:24">
      <c r="O560" s="43" t="str">
        <f>TEXT((月次返済表!A562-1)/12,"0.0")</f>
        <v>46.3</v>
      </c>
      <c r="P560" s="44">
        <f ca="1">月次返済表!S562</f>
        <v>0</v>
      </c>
      <c r="Q560" s="44">
        <f ca="1">月次返済表!T562</f>
        <v>0</v>
      </c>
      <c r="R560" s="44">
        <f ca="1">月次返済表!H562</f>
        <v>0</v>
      </c>
      <c r="S560" s="44">
        <f ca="1">月次返済表!I562</f>
        <v>0</v>
      </c>
      <c r="T560" s="44">
        <f ca="1">月次返済表!R562</f>
        <v>0</v>
      </c>
      <c r="U560" s="44">
        <f ca="1">月次返済表!G562</f>
        <v>0</v>
      </c>
      <c r="V560" s="44"/>
      <c r="W560" s="44">
        <f t="shared" ca="1" si="14"/>
        <v>150233.43899516284</v>
      </c>
      <c r="X560" s="44">
        <f t="shared" ca="1" si="15"/>
        <v>150233.43899516284</v>
      </c>
    </row>
    <row r="561" spans="15:24">
      <c r="O561" s="43" t="str">
        <f>TEXT((月次返済表!A563-1)/12,"0.0")</f>
        <v>46.4</v>
      </c>
      <c r="P561" s="44">
        <f ca="1">月次返済表!S563</f>
        <v>0</v>
      </c>
      <c r="Q561" s="44">
        <f ca="1">月次返済表!T563</f>
        <v>0</v>
      </c>
      <c r="R561" s="44">
        <f ca="1">月次返済表!H563</f>
        <v>0</v>
      </c>
      <c r="S561" s="44">
        <f ca="1">月次返済表!I563</f>
        <v>0</v>
      </c>
      <c r="T561" s="44">
        <f ca="1">月次返済表!R563</f>
        <v>0</v>
      </c>
      <c r="U561" s="44">
        <f ca="1">月次返済表!G563</f>
        <v>0</v>
      </c>
      <c r="V561" s="44"/>
      <c r="W561" s="44">
        <f t="shared" ca="1" si="14"/>
        <v>150233.43899516284</v>
      </c>
      <c r="X561" s="44">
        <f t="shared" ca="1" si="15"/>
        <v>150233.43899516284</v>
      </c>
    </row>
    <row r="562" spans="15:24">
      <c r="O562" s="43" t="str">
        <f>TEXT((月次返済表!A564-1)/12,"0.0")</f>
        <v>46.5</v>
      </c>
      <c r="P562" s="44">
        <f ca="1">月次返済表!S564</f>
        <v>0</v>
      </c>
      <c r="Q562" s="44">
        <f ca="1">月次返済表!T564</f>
        <v>0</v>
      </c>
      <c r="R562" s="44">
        <f ca="1">月次返済表!H564</f>
        <v>0</v>
      </c>
      <c r="S562" s="44">
        <f ca="1">月次返済表!I564</f>
        <v>0</v>
      </c>
      <c r="T562" s="44">
        <f ca="1">月次返済表!R564</f>
        <v>0</v>
      </c>
      <c r="U562" s="44">
        <f ca="1">月次返済表!G564</f>
        <v>0</v>
      </c>
      <c r="V562" s="44"/>
      <c r="W562" s="44">
        <f t="shared" ca="1" si="14"/>
        <v>150233.43899516284</v>
      </c>
      <c r="X562" s="44">
        <f t="shared" ca="1" si="15"/>
        <v>150233.43899516284</v>
      </c>
    </row>
    <row r="563" spans="15:24">
      <c r="O563" s="43" t="str">
        <f>TEXT((月次返済表!A565-1)/12,"0.0")</f>
        <v>46.6</v>
      </c>
      <c r="P563" s="44">
        <f ca="1">月次返済表!S565</f>
        <v>0</v>
      </c>
      <c r="Q563" s="44">
        <f ca="1">月次返済表!T565</f>
        <v>0</v>
      </c>
      <c r="R563" s="44">
        <f ca="1">月次返済表!H565</f>
        <v>0</v>
      </c>
      <c r="S563" s="44">
        <f ca="1">月次返済表!I565</f>
        <v>0</v>
      </c>
      <c r="T563" s="44">
        <f ca="1">月次返済表!R565</f>
        <v>0</v>
      </c>
      <c r="U563" s="44">
        <f ca="1">月次返済表!G565</f>
        <v>0</v>
      </c>
      <c r="V563" s="44"/>
      <c r="W563" s="44">
        <f t="shared" ca="1" si="14"/>
        <v>150233.43899516284</v>
      </c>
      <c r="X563" s="44">
        <f t="shared" ca="1" si="15"/>
        <v>150233.43899516284</v>
      </c>
    </row>
    <row r="564" spans="15:24">
      <c r="O564" s="43" t="str">
        <f>TEXT((月次返済表!A566-1)/12,"0.0")</f>
        <v>46.7</v>
      </c>
      <c r="P564" s="44">
        <f ca="1">月次返済表!S566</f>
        <v>0</v>
      </c>
      <c r="Q564" s="44">
        <f ca="1">月次返済表!T566</f>
        <v>0</v>
      </c>
      <c r="R564" s="44">
        <f ca="1">月次返済表!H566</f>
        <v>0</v>
      </c>
      <c r="S564" s="44">
        <f ca="1">月次返済表!I566</f>
        <v>0</v>
      </c>
      <c r="T564" s="44">
        <f ca="1">月次返済表!R566</f>
        <v>0</v>
      </c>
      <c r="U564" s="44">
        <f ca="1">月次返済表!G566</f>
        <v>0</v>
      </c>
      <c r="V564" s="44"/>
      <c r="W564" s="44">
        <f t="shared" ca="1" si="14"/>
        <v>150233.43899516284</v>
      </c>
      <c r="X564" s="44">
        <f t="shared" ca="1" si="15"/>
        <v>150233.43899516284</v>
      </c>
    </row>
    <row r="565" spans="15:24">
      <c r="O565" s="43" t="str">
        <f>TEXT((月次返済表!A567-1)/12,"0.0")</f>
        <v>46.8</v>
      </c>
      <c r="P565" s="44">
        <f ca="1">月次返済表!S567</f>
        <v>0</v>
      </c>
      <c r="Q565" s="44">
        <f ca="1">月次返済表!T567</f>
        <v>0</v>
      </c>
      <c r="R565" s="44">
        <f ca="1">月次返済表!H567</f>
        <v>0</v>
      </c>
      <c r="S565" s="44">
        <f ca="1">月次返済表!I567</f>
        <v>0</v>
      </c>
      <c r="T565" s="44">
        <f ca="1">月次返済表!R567</f>
        <v>0</v>
      </c>
      <c r="U565" s="44">
        <f ca="1">月次返済表!G567</f>
        <v>0</v>
      </c>
      <c r="V565" s="44"/>
      <c r="W565" s="44">
        <f t="shared" ca="1" si="14"/>
        <v>150233.43899516284</v>
      </c>
      <c r="X565" s="44">
        <f t="shared" ca="1" si="15"/>
        <v>150233.43899516284</v>
      </c>
    </row>
    <row r="566" spans="15:24">
      <c r="O566" s="43" t="str">
        <f>TEXT((月次返済表!A568-1)/12,"0.0")</f>
        <v>46.8</v>
      </c>
      <c r="P566" s="44">
        <f ca="1">月次返済表!S568</f>
        <v>0</v>
      </c>
      <c r="Q566" s="44">
        <f ca="1">月次返済表!T568</f>
        <v>0</v>
      </c>
      <c r="R566" s="44">
        <f ca="1">月次返済表!H568</f>
        <v>0</v>
      </c>
      <c r="S566" s="44">
        <f ca="1">月次返済表!I568</f>
        <v>0</v>
      </c>
      <c r="T566" s="44">
        <f ca="1">月次返済表!R568</f>
        <v>0</v>
      </c>
      <c r="U566" s="44">
        <f ca="1">月次返済表!G568</f>
        <v>0</v>
      </c>
      <c r="V566" s="44"/>
      <c r="W566" s="44">
        <f t="shared" ca="1" si="14"/>
        <v>150233.43899516284</v>
      </c>
      <c r="X566" s="44">
        <f t="shared" ca="1" si="15"/>
        <v>150233.43899516284</v>
      </c>
    </row>
    <row r="567" spans="15:24">
      <c r="O567" s="43" t="str">
        <f>TEXT((月次返済表!A569-1)/12,"0.0")</f>
        <v>46.9</v>
      </c>
      <c r="P567" s="44">
        <f ca="1">月次返済表!S569</f>
        <v>0</v>
      </c>
      <c r="Q567" s="44">
        <f ca="1">月次返済表!T569</f>
        <v>0</v>
      </c>
      <c r="R567" s="44">
        <f ca="1">月次返済表!H569</f>
        <v>0</v>
      </c>
      <c r="S567" s="44">
        <f ca="1">月次返済表!I569</f>
        <v>0</v>
      </c>
      <c r="T567" s="44">
        <f ca="1">月次返済表!R569</f>
        <v>0</v>
      </c>
      <c r="U567" s="44">
        <f ca="1">月次返済表!G569</f>
        <v>0</v>
      </c>
      <c r="V567" s="44"/>
      <c r="W567" s="44">
        <f t="shared" ca="1" si="14"/>
        <v>150233.43899516284</v>
      </c>
      <c r="X567" s="44">
        <f t="shared" ca="1" si="15"/>
        <v>150233.43899516284</v>
      </c>
    </row>
    <row r="568" spans="15:24">
      <c r="O568" s="43" t="str">
        <f>TEXT((月次返済表!A570-1)/12,"0.0")</f>
        <v>47.0</v>
      </c>
      <c r="P568" s="44">
        <f ca="1">月次返済表!S570</f>
        <v>0</v>
      </c>
      <c r="Q568" s="44">
        <f ca="1">月次返済表!T570</f>
        <v>0</v>
      </c>
      <c r="R568" s="44">
        <f ca="1">月次返済表!H570</f>
        <v>0</v>
      </c>
      <c r="S568" s="44">
        <f ca="1">月次返済表!I570</f>
        <v>0</v>
      </c>
      <c r="T568" s="44">
        <f ca="1">月次返済表!R570</f>
        <v>0</v>
      </c>
      <c r="U568" s="44">
        <f ca="1">月次返済表!G570</f>
        <v>0</v>
      </c>
      <c r="V568" s="44"/>
      <c r="W568" s="44">
        <f t="shared" ca="1" si="14"/>
        <v>150233.43899516284</v>
      </c>
      <c r="X568" s="44">
        <f t="shared" ca="1" si="15"/>
        <v>150233.43899516284</v>
      </c>
    </row>
    <row r="569" spans="15:24">
      <c r="O569" s="43" t="str">
        <f>TEXT((月次返済表!A571-1)/12,"0.0")</f>
        <v>47.1</v>
      </c>
      <c r="P569" s="44">
        <f ca="1">月次返済表!S571</f>
        <v>0</v>
      </c>
      <c r="Q569" s="44">
        <f ca="1">月次返済表!T571</f>
        <v>0</v>
      </c>
      <c r="R569" s="44">
        <f ca="1">月次返済表!H571</f>
        <v>0</v>
      </c>
      <c r="S569" s="44">
        <f ca="1">月次返済表!I571</f>
        <v>0</v>
      </c>
      <c r="T569" s="44">
        <f ca="1">月次返済表!R571</f>
        <v>0</v>
      </c>
      <c r="U569" s="44">
        <f ca="1">月次返済表!G571</f>
        <v>0</v>
      </c>
      <c r="V569" s="44"/>
      <c r="W569" s="44">
        <f t="shared" ca="1" si="14"/>
        <v>150233.43899516284</v>
      </c>
      <c r="X569" s="44">
        <f t="shared" ca="1" si="15"/>
        <v>150233.43899516284</v>
      </c>
    </row>
    <row r="570" spans="15:24">
      <c r="O570" s="43" t="str">
        <f>TEXT((月次返済表!A572-1)/12,"0.0")</f>
        <v>47.2</v>
      </c>
      <c r="P570" s="44">
        <f ca="1">月次返済表!S572</f>
        <v>0</v>
      </c>
      <c r="Q570" s="44">
        <f ca="1">月次返済表!T572</f>
        <v>0</v>
      </c>
      <c r="R570" s="44">
        <f ca="1">月次返済表!H572</f>
        <v>0</v>
      </c>
      <c r="S570" s="44">
        <f ca="1">月次返済表!I572</f>
        <v>0</v>
      </c>
      <c r="T570" s="44">
        <f ca="1">月次返済表!R572</f>
        <v>0</v>
      </c>
      <c r="U570" s="44">
        <f ca="1">月次返済表!G572</f>
        <v>0</v>
      </c>
      <c r="V570" s="44"/>
      <c r="W570" s="44">
        <f t="shared" ca="1" si="14"/>
        <v>150233.43899516284</v>
      </c>
      <c r="X570" s="44">
        <f t="shared" ca="1" si="15"/>
        <v>150233.43899516284</v>
      </c>
    </row>
    <row r="571" spans="15:24">
      <c r="O571" s="43" t="str">
        <f>TEXT((月次返済表!A573-1)/12,"0.0")</f>
        <v>47.3</v>
      </c>
      <c r="P571" s="44">
        <f ca="1">月次返済表!S573</f>
        <v>0</v>
      </c>
      <c r="Q571" s="44">
        <f ca="1">月次返済表!T573</f>
        <v>0</v>
      </c>
      <c r="R571" s="44">
        <f ca="1">月次返済表!H573</f>
        <v>0</v>
      </c>
      <c r="S571" s="44">
        <f ca="1">月次返済表!I573</f>
        <v>0</v>
      </c>
      <c r="T571" s="44">
        <f ca="1">月次返済表!R573</f>
        <v>0</v>
      </c>
      <c r="U571" s="44">
        <f ca="1">月次返済表!G573</f>
        <v>0</v>
      </c>
      <c r="V571" s="44"/>
      <c r="W571" s="44">
        <f t="shared" ca="1" si="14"/>
        <v>150233.43899516284</v>
      </c>
      <c r="X571" s="44">
        <f t="shared" ca="1" si="15"/>
        <v>150233.43899516284</v>
      </c>
    </row>
    <row r="572" spans="15:24">
      <c r="O572" s="43" t="str">
        <f>TEXT((月次返済表!A574-1)/12,"0.0")</f>
        <v>47.3</v>
      </c>
      <c r="P572" s="44">
        <f ca="1">月次返済表!S574</f>
        <v>0</v>
      </c>
      <c r="Q572" s="44">
        <f ca="1">月次返済表!T574</f>
        <v>0</v>
      </c>
      <c r="R572" s="44">
        <f ca="1">月次返済表!H574</f>
        <v>0</v>
      </c>
      <c r="S572" s="44">
        <f ca="1">月次返済表!I574</f>
        <v>0</v>
      </c>
      <c r="T572" s="44">
        <f ca="1">月次返済表!R574</f>
        <v>0</v>
      </c>
      <c r="U572" s="44">
        <f ca="1">月次返済表!G574</f>
        <v>0</v>
      </c>
      <c r="V572" s="44"/>
      <c r="W572" s="44">
        <f t="shared" ca="1" si="14"/>
        <v>150233.43899516284</v>
      </c>
      <c r="X572" s="44">
        <f t="shared" ca="1" si="15"/>
        <v>150233.43899516284</v>
      </c>
    </row>
    <row r="573" spans="15:24">
      <c r="O573" s="43" t="str">
        <f>TEXT((月次返済表!A575-1)/12,"0.0")</f>
        <v>47.4</v>
      </c>
      <c r="P573" s="44">
        <f ca="1">月次返済表!S575</f>
        <v>0</v>
      </c>
      <c r="Q573" s="44">
        <f ca="1">月次返済表!T575</f>
        <v>0</v>
      </c>
      <c r="R573" s="44">
        <f ca="1">月次返済表!H575</f>
        <v>0</v>
      </c>
      <c r="S573" s="44">
        <f ca="1">月次返済表!I575</f>
        <v>0</v>
      </c>
      <c r="T573" s="44">
        <f ca="1">月次返済表!R575</f>
        <v>0</v>
      </c>
      <c r="U573" s="44">
        <f ca="1">月次返済表!G575</f>
        <v>0</v>
      </c>
      <c r="V573" s="44"/>
      <c r="W573" s="44">
        <f t="shared" ca="1" si="14"/>
        <v>150233.43899516284</v>
      </c>
      <c r="X573" s="44">
        <f t="shared" ca="1" si="15"/>
        <v>150233.43899516284</v>
      </c>
    </row>
    <row r="574" spans="15:24">
      <c r="O574" s="43" t="str">
        <f>TEXT((月次返済表!A576-1)/12,"0.0")</f>
        <v>47.5</v>
      </c>
      <c r="P574" s="44">
        <f ca="1">月次返済表!S576</f>
        <v>0</v>
      </c>
      <c r="Q574" s="44">
        <f ca="1">月次返済表!T576</f>
        <v>0</v>
      </c>
      <c r="R574" s="44">
        <f ca="1">月次返済表!H576</f>
        <v>0</v>
      </c>
      <c r="S574" s="44">
        <f ca="1">月次返済表!I576</f>
        <v>0</v>
      </c>
      <c r="T574" s="44">
        <f ca="1">月次返済表!R576</f>
        <v>0</v>
      </c>
      <c r="U574" s="44">
        <f ca="1">月次返済表!G576</f>
        <v>0</v>
      </c>
      <c r="V574" s="44"/>
      <c r="W574" s="44">
        <f t="shared" ca="1" si="14"/>
        <v>150233.43899516284</v>
      </c>
      <c r="X574" s="44">
        <f t="shared" ca="1" si="15"/>
        <v>150233.43899516284</v>
      </c>
    </row>
    <row r="575" spans="15:24">
      <c r="O575" s="43" t="str">
        <f>TEXT((月次返済表!A577-1)/12,"0.0")</f>
        <v>47.6</v>
      </c>
      <c r="P575" s="44">
        <f ca="1">月次返済表!S577</f>
        <v>0</v>
      </c>
      <c r="Q575" s="44">
        <f ca="1">月次返済表!T577</f>
        <v>0</v>
      </c>
      <c r="R575" s="44">
        <f ca="1">月次返済表!H577</f>
        <v>0</v>
      </c>
      <c r="S575" s="44">
        <f ca="1">月次返済表!I577</f>
        <v>0</v>
      </c>
      <c r="T575" s="44">
        <f ca="1">月次返済表!R577</f>
        <v>0</v>
      </c>
      <c r="U575" s="44">
        <f ca="1">月次返済表!G577</f>
        <v>0</v>
      </c>
      <c r="V575" s="44"/>
      <c r="W575" s="44">
        <f t="shared" ca="1" si="14"/>
        <v>150233.43899516284</v>
      </c>
      <c r="X575" s="44">
        <f t="shared" ca="1" si="15"/>
        <v>150233.43899516284</v>
      </c>
    </row>
    <row r="576" spans="15:24">
      <c r="O576" s="43" t="str">
        <f>TEXT((月次返済表!A578-1)/12,"0.0")</f>
        <v>47.7</v>
      </c>
      <c r="P576" s="44">
        <f ca="1">月次返済表!S578</f>
        <v>0</v>
      </c>
      <c r="Q576" s="44">
        <f ca="1">月次返済表!T578</f>
        <v>0</v>
      </c>
      <c r="R576" s="44">
        <f ca="1">月次返済表!H578</f>
        <v>0</v>
      </c>
      <c r="S576" s="44">
        <f ca="1">月次返済表!I578</f>
        <v>0</v>
      </c>
      <c r="T576" s="44">
        <f ca="1">月次返済表!R578</f>
        <v>0</v>
      </c>
      <c r="U576" s="44">
        <f ca="1">月次返済表!G578</f>
        <v>0</v>
      </c>
      <c r="V576" s="44"/>
      <c r="W576" s="44">
        <f t="shared" ca="1" si="14"/>
        <v>150233.43899516284</v>
      </c>
      <c r="X576" s="44">
        <f t="shared" ca="1" si="15"/>
        <v>150233.43899516284</v>
      </c>
    </row>
    <row r="577" spans="15:24">
      <c r="O577" s="43" t="str">
        <f>TEXT((月次返済表!A579-1)/12,"0.0")</f>
        <v>47.8</v>
      </c>
      <c r="P577" s="44">
        <f ca="1">月次返済表!S579</f>
        <v>0</v>
      </c>
      <c r="Q577" s="44">
        <f ca="1">月次返済表!T579</f>
        <v>0</v>
      </c>
      <c r="R577" s="44">
        <f ca="1">月次返済表!H579</f>
        <v>0</v>
      </c>
      <c r="S577" s="44">
        <f ca="1">月次返済表!I579</f>
        <v>0</v>
      </c>
      <c r="T577" s="44">
        <f ca="1">月次返済表!R579</f>
        <v>0</v>
      </c>
      <c r="U577" s="44">
        <f ca="1">月次返済表!G579</f>
        <v>0</v>
      </c>
      <c r="V577" s="44"/>
      <c r="W577" s="44">
        <f t="shared" ca="1" si="14"/>
        <v>150233.43899516284</v>
      </c>
      <c r="X577" s="44">
        <f t="shared" ca="1" si="15"/>
        <v>150233.43899516284</v>
      </c>
    </row>
    <row r="578" spans="15:24">
      <c r="O578" s="43" t="str">
        <f>TEXT((月次返済表!A580-1)/12,"0.0")</f>
        <v>47.8</v>
      </c>
      <c r="P578" s="44">
        <f ca="1">月次返済表!S580</f>
        <v>0</v>
      </c>
      <c r="Q578" s="44">
        <f ca="1">月次返済表!T580</f>
        <v>0</v>
      </c>
      <c r="R578" s="44">
        <f ca="1">月次返済表!H580</f>
        <v>0</v>
      </c>
      <c r="S578" s="44">
        <f ca="1">月次返済表!I580</f>
        <v>0</v>
      </c>
      <c r="T578" s="44">
        <f ca="1">月次返済表!R580</f>
        <v>0</v>
      </c>
      <c r="U578" s="44">
        <f ca="1">月次返済表!G580</f>
        <v>0</v>
      </c>
      <c r="V578" s="44"/>
      <c r="W578" s="44">
        <f t="shared" ca="1" si="14"/>
        <v>150233.43899516284</v>
      </c>
      <c r="X578" s="44">
        <f t="shared" ca="1" si="15"/>
        <v>150233.43899516284</v>
      </c>
    </row>
    <row r="579" spans="15:24">
      <c r="O579" s="43" t="str">
        <f>TEXT((月次返済表!A581-1)/12,"0.0")</f>
        <v>47.9</v>
      </c>
      <c r="P579" s="44">
        <f ca="1">月次返済表!S581</f>
        <v>0</v>
      </c>
      <c r="Q579" s="44">
        <f ca="1">月次返済表!T581</f>
        <v>0</v>
      </c>
      <c r="R579" s="44">
        <f ca="1">月次返済表!H581</f>
        <v>0</v>
      </c>
      <c r="S579" s="44">
        <f ca="1">月次返済表!I581</f>
        <v>0</v>
      </c>
      <c r="T579" s="44">
        <f ca="1">月次返済表!R581</f>
        <v>0</v>
      </c>
      <c r="U579" s="44">
        <f ca="1">月次返済表!G581</f>
        <v>0</v>
      </c>
      <c r="V579" s="44"/>
      <c r="W579" s="44">
        <f t="shared" ca="1" si="14"/>
        <v>150233.43899516284</v>
      </c>
      <c r="X579" s="44">
        <f t="shared" ca="1" si="15"/>
        <v>150233.43899516284</v>
      </c>
    </row>
    <row r="580" spans="15:24">
      <c r="O580" s="43" t="str">
        <f>TEXT((月次返済表!A582-1)/12,"0.0")</f>
        <v>48.0</v>
      </c>
      <c r="P580" s="44">
        <f ca="1">月次返済表!S582</f>
        <v>0</v>
      </c>
      <c r="Q580" s="44">
        <f ca="1">月次返済表!T582</f>
        <v>0</v>
      </c>
      <c r="R580" s="44">
        <f ca="1">月次返済表!H582</f>
        <v>0</v>
      </c>
      <c r="S580" s="44">
        <f ca="1">月次返済表!I582</f>
        <v>0</v>
      </c>
      <c r="T580" s="44">
        <f ca="1">月次返済表!R582</f>
        <v>0</v>
      </c>
      <c r="U580" s="44">
        <f ca="1">月次返済表!G582</f>
        <v>0</v>
      </c>
      <c r="V580" s="44"/>
      <c r="W580" s="44">
        <f t="shared" ref="W580:W603" ca="1" si="16">$V$6-T580</f>
        <v>150233.43899516284</v>
      </c>
      <c r="X580" s="44">
        <f t="shared" ref="X580:X603" ca="1" si="17">$V$6-U580</f>
        <v>150233.43899516284</v>
      </c>
    </row>
    <row r="581" spans="15:24">
      <c r="O581" s="43" t="str">
        <f>TEXT((月次返済表!A583-1)/12,"0.0")</f>
        <v>48.1</v>
      </c>
      <c r="P581" s="44">
        <f ca="1">月次返済表!S583</f>
        <v>0</v>
      </c>
      <c r="Q581" s="44">
        <f ca="1">月次返済表!T583</f>
        <v>0</v>
      </c>
      <c r="R581" s="44">
        <f ca="1">月次返済表!H583</f>
        <v>0</v>
      </c>
      <c r="S581" s="44">
        <f ca="1">月次返済表!I583</f>
        <v>0</v>
      </c>
      <c r="T581" s="44">
        <f ca="1">月次返済表!R583</f>
        <v>0</v>
      </c>
      <c r="U581" s="44">
        <f ca="1">月次返済表!G583</f>
        <v>0</v>
      </c>
      <c r="V581" s="44"/>
      <c r="W581" s="44">
        <f t="shared" ca="1" si="16"/>
        <v>150233.43899516284</v>
      </c>
      <c r="X581" s="44">
        <f t="shared" ca="1" si="17"/>
        <v>150233.43899516284</v>
      </c>
    </row>
    <row r="582" spans="15:24">
      <c r="O582" s="43" t="str">
        <f>TEXT((月次返済表!A584-1)/12,"0.0")</f>
        <v>48.2</v>
      </c>
      <c r="P582" s="44">
        <f ca="1">月次返済表!S584</f>
        <v>0</v>
      </c>
      <c r="Q582" s="44">
        <f ca="1">月次返済表!T584</f>
        <v>0</v>
      </c>
      <c r="R582" s="44">
        <f ca="1">月次返済表!H584</f>
        <v>0</v>
      </c>
      <c r="S582" s="44">
        <f ca="1">月次返済表!I584</f>
        <v>0</v>
      </c>
      <c r="T582" s="44">
        <f ca="1">月次返済表!R584</f>
        <v>0</v>
      </c>
      <c r="U582" s="44">
        <f ca="1">月次返済表!G584</f>
        <v>0</v>
      </c>
      <c r="V582" s="44"/>
      <c r="W582" s="44">
        <f t="shared" ca="1" si="16"/>
        <v>150233.43899516284</v>
      </c>
      <c r="X582" s="44">
        <f t="shared" ca="1" si="17"/>
        <v>150233.43899516284</v>
      </c>
    </row>
    <row r="583" spans="15:24">
      <c r="O583" s="43" t="str">
        <f>TEXT((月次返済表!A585-1)/12,"0.0")</f>
        <v>48.3</v>
      </c>
      <c r="P583" s="44">
        <f ca="1">月次返済表!S585</f>
        <v>0</v>
      </c>
      <c r="Q583" s="44">
        <f ca="1">月次返済表!T585</f>
        <v>0</v>
      </c>
      <c r="R583" s="44">
        <f ca="1">月次返済表!H585</f>
        <v>0</v>
      </c>
      <c r="S583" s="44">
        <f ca="1">月次返済表!I585</f>
        <v>0</v>
      </c>
      <c r="T583" s="44">
        <f ca="1">月次返済表!R585</f>
        <v>0</v>
      </c>
      <c r="U583" s="44">
        <f ca="1">月次返済表!G585</f>
        <v>0</v>
      </c>
      <c r="V583" s="44"/>
      <c r="W583" s="44">
        <f t="shared" ca="1" si="16"/>
        <v>150233.43899516284</v>
      </c>
      <c r="X583" s="44">
        <f t="shared" ca="1" si="17"/>
        <v>150233.43899516284</v>
      </c>
    </row>
    <row r="584" spans="15:24">
      <c r="O584" s="43" t="str">
        <f>TEXT((月次返済表!A586-1)/12,"0.0")</f>
        <v>48.3</v>
      </c>
      <c r="P584" s="44">
        <f ca="1">月次返済表!S586</f>
        <v>0</v>
      </c>
      <c r="Q584" s="44">
        <f ca="1">月次返済表!T586</f>
        <v>0</v>
      </c>
      <c r="R584" s="44">
        <f ca="1">月次返済表!H586</f>
        <v>0</v>
      </c>
      <c r="S584" s="44">
        <f ca="1">月次返済表!I586</f>
        <v>0</v>
      </c>
      <c r="T584" s="44">
        <f ca="1">月次返済表!R586</f>
        <v>0</v>
      </c>
      <c r="U584" s="44">
        <f ca="1">月次返済表!G586</f>
        <v>0</v>
      </c>
      <c r="V584" s="44"/>
      <c r="W584" s="44">
        <f t="shared" ca="1" si="16"/>
        <v>150233.43899516284</v>
      </c>
      <c r="X584" s="44">
        <f t="shared" ca="1" si="17"/>
        <v>150233.43899516284</v>
      </c>
    </row>
    <row r="585" spans="15:24">
      <c r="O585" s="43" t="str">
        <f>TEXT((月次返済表!A587-1)/12,"0.0")</f>
        <v>48.4</v>
      </c>
      <c r="P585" s="44">
        <f ca="1">月次返済表!S587</f>
        <v>0</v>
      </c>
      <c r="Q585" s="44">
        <f ca="1">月次返済表!T587</f>
        <v>0</v>
      </c>
      <c r="R585" s="44">
        <f ca="1">月次返済表!H587</f>
        <v>0</v>
      </c>
      <c r="S585" s="44">
        <f ca="1">月次返済表!I587</f>
        <v>0</v>
      </c>
      <c r="T585" s="44">
        <f ca="1">月次返済表!R587</f>
        <v>0</v>
      </c>
      <c r="U585" s="44">
        <f ca="1">月次返済表!G587</f>
        <v>0</v>
      </c>
      <c r="V585" s="44"/>
      <c r="W585" s="44">
        <f t="shared" ca="1" si="16"/>
        <v>150233.43899516284</v>
      </c>
      <c r="X585" s="44">
        <f t="shared" ca="1" si="17"/>
        <v>150233.43899516284</v>
      </c>
    </row>
    <row r="586" spans="15:24">
      <c r="O586" s="43" t="str">
        <f>TEXT((月次返済表!A588-1)/12,"0.0")</f>
        <v>48.5</v>
      </c>
      <c r="P586" s="44">
        <f ca="1">月次返済表!S588</f>
        <v>0</v>
      </c>
      <c r="Q586" s="44">
        <f ca="1">月次返済表!T588</f>
        <v>0</v>
      </c>
      <c r="R586" s="44">
        <f ca="1">月次返済表!H588</f>
        <v>0</v>
      </c>
      <c r="S586" s="44">
        <f ca="1">月次返済表!I588</f>
        <v>0</v>
      </c>
      <c r="T586" s="44">
        <f ca="1">月次返済表!R588</f>
        <v>0</v>
      </c>
      <c r="U586" s="44">
        <f ca="1">月次返済表!G588</f>
        <v>0</v>
      </c>
      <c r="V586" s="44"/>
      <c r="W586" s="44">
        <f t="shared" ca="1" si="16"/>
        <v>150233.43899516284</v>
      </c>
      <c r="X586" s="44">
        <f t="shared" ca="1" si="17"/>
        <v>150233.43899516284</v>
      </c>
    </row>
    <row r="587" spans="15:24">
      <c r="O587" s="43" t="str">
        <f>TEXT((月次返済表!A589-1)/12,"0.0")</f>
        <v>48.6</v>
      </c>
      <c r="P587" s="44">
        <f ca="1">月次返済表!S589</f>
        <v>0</v>
      </c>
      <c r="Q587" s="44">
        <f ca="1">月次返済表!T589</f>
        <v>0</v>
      </c>
      <c r="R587" s="44">
        <f ca="1">月次返済表!H589</f>
        <v>0</v>
      </c>
      <c r="S587" s="44">
        <f ca="1">月次返済表!I589</f>
        <v>0</v>
      </c>
      <c r="T587" s="44">
        <f ca="1">月次返済表!R589</f>
        <v>0</v>
      </c>
      <c r="U587" s="44">
        <f ca="1">月次返済表!G589</f>
        <v>0</v>
      </c>
      <c r="V587" s="44"/>
      <c r="W587" s="44">
        <f t="shared" ca="1" si="16"/>
        <v>150233.43899516284</v>
      </c>
      <c r="X587" s="44">
        <f t="shared" ca="1" si="17"/>
        <v>150233.43899516284</v>
      </c>
    </row>
    <row r="588" spans="15:24">
      <c r="O588" s="43" t="str">
        <f>TEXT((月次返済表!A590-1)/12,"0.0")</f>
        <v>48.7</v>
      </c>
      <c r="P588" s="44">
        <f ca="1">月次返済表!S590</f>
        <v>0</v>
      </c>
      <c r="Q588" s="44">
        <f ca="1">月次返済表!T590</f>
        <v>0</v>
      </c>
      <c r="R588" s="44">
        <f ca="1">月次返済表!H590</f>
        <v>0</v>
      </c>
      <c r="S588" s="44">
        <f ca="1">月次返済表!I590</f>
        <v>0</v>
      </c>
      <c r="T588" s="44">
        <f ca="1">月次返済表!R590</f>
        <v>0</v>
      </c>
      <c r="U588" s="44">
        <f ca="1">月次返済表!G590</f>
        <v>0</v>
      </c>
      <c r="V588" s="44"/>
      <c r="W588" s="44">
        <f t="shared" ca="1" si="16"/>
        <v>150233.43899516284</v>
      </c>
      <c r="X588" s="44">
        <f t="shared" ca="1" si="17"/>
        <v>150233.43899516284</v>
      </c>
    </row>
    <row r="589" spans="15:24">
      <c r="O589" s="43" t="str">
        <f>TEXT((月次返済表!A591-1)/12,"0.0")</f>
        <v>48.8</v>
      </c>
      <c r="P589" s="44">
        <f ca="1">月次返済表!S591</f>
        <v>0</v>
      </c>
      <c r="Q589" s="44">
        <f ca="1">月次返済表!T591</f>
        <v>0</v>
      </c>
      <c r="R589" s="44">
        <f ca="1">月次返済表!H591</f>
        <v>0</v>
      </c>
      <c r="S589" s="44">
        <f ca="1">月次返済表!I591</f>
        <v>0</v>
      </c>
      <c r="T589" s="44">
        <f ca="1">月次返済表!R591</f>
        <v>0</v>
      </c>
      <c r="U589" s="44">
        <f ca="1">月次返済表!G591</f>
        <v>0</v>
      </c>
      <c r="V589" s="44"/>
      <c r="W589" s="44">
        <f t="shared" ca="1" si="16"/>
        <v>150233.43899516284</v>
      </c>
      <c r="X589" s="44">
        <f t="shared" ca="1" si="17"/>
        <v>150233.43899516284</v>
      </c>
    </row>
    <row r="590" spans="15:24">
      <c r="O590" s="43" t="str">
        <f>TEXT((月次返済表!A592-1)/12,"0.0")</f>
        <v>48.8</v>
      </c>
      <c r="P590" s="44">
        <f ca="1">月次返済表!S592</f>
        <v>0</v>
      </c>
      <c r="Q590" s="44">
        <f ca="1">月次返済表!T592</f>
        <v>0</v>
      </c>
      <c r="R590" s="44">
        <f ca="1">月次返済表!H592</f>
        <v>0</v>
      </c>
      <c r="S590" s="44">
        <f ca="1">月次返済表!I592</f>
        <v>0</v>
      </c>
      <c r="T590" s="44">
        <f ca="1">月次返済表!R592</f>
        <v>0</v>
      </c>
      <c r="U590" s="44">
        <f ca="1">月次返済表!G592</f>
        <v>0</v>
      </c>
      <c r="V590" s="44"/>
      <c r="W590" s="44">
        <f t="shared" ca="1" si="16"/>
        <v>150233.43899516284</v>
      </c>
      <c r="X590" s="44">
        <f t="shared" ca="1" si="17"/>
        <v>150233.43899516284</v>
      </c>
    </row>
    <row r="591" spans="15:24">
      <c r="O591" s="43" t="str">
        <f>TEXT((月次返済表!A593-1)/12,"0.0")</f>
        <v>48.9</v>
      </c>
      <c r="P591" s="44">
        <f ca="1">月次返済表!S593</f>
        <v>0</v>
      </c>
      <c r="Q591" s="44">
        <f ca="1">月次返済表!T593</f>
        <v>0</v>
      </c>
      <c r="R591" s="44">
        <f ca="1">月次返済表!H593</f>
        <v>0</v>
      </c>
      <c r="S591" s="44">
        <f ca="1">月次返済表!I593</f>
        <v>0</v>
      </c>
      <c r="T591" s="44">
        <f ca="1">月次返済表!R593</f>
        <v>0</v>
      </c>
      <c r="U591" s="44">
        <f ca="1">月次返済表!G593</f>
        <v>0</v>
      </c>
      <c r="V591" s="44"/>
      <c r="W591" s="44">
        <f t="shared" ca="1" si="16"/>
        <v>150233.43899516284</v>
      </c>
      <c r="X591" s="44">
        <f t="shared" ca="1" si="17"/>
        <v>150233.43899516284</v>
      </c>
    </row>
    <row r="592" spans="15:24">
      <c r="O592" s="43" t="str">
        <f>TEXT((月次返済表!A594-1)/12,"0.0")</f>
        <v>49.0</v>
      </c>
      <c r="P592" s="44">
        <f ca="1">月次返済表!S594</f>
        <v>0</v>
      </c>
      <c r="Q592" s="44">
        <f ca="1">月次返済表!T594</f>
        <v>0</v>
      </c>
      <c r="R592" s="44">
        <f ca="1">月次返済表!H594</f>
        <v>0</v>
      </c>
      <c r="S592" s="44">
        <f ca="1">月次返済表!I594</f>
        <v>0</v>
      </c>
      <c r="T592" s="44">
        <f ca="1">月次返済表!R594</f>
        <v>0</v>
      </c>
      <c r="U592" s="44">
        <f ca="1">月次返済表!G594</f>
        <v>0</v>
      </c>
      <c r="V592" s="44"/>
      <c r="W592" s="44">
        <f t="shared" ca="1" si="16"/>
        <v>150233.43899516284</v>
      </c>
      <c r="X592" s="44">
        <f t="shared" ca="1" si="17"/>
        <v>150233.43899516284</v>
      </c>
    </row>
    <row r="593" spans="15:24">
      <c r="O593" s="43" t="str">
        <f>TEXT((月次返済表!A595-1)/12,"0.0")</f>
        <v>49.1</v>
      </c>
      <c r="P593" s="44">
        <f ca="1">月次返済表!S595</f>
        <v>0</v>
      </c>
      <c r="Q593" s="44">
        <f ca="1">月次返済表!T595</f>
        <v>0</v>
      </c>
      <c r="R593" s="44">
        <f ca="1">月次返済表!H595</f>
        <v>0</v>
      </c>
      <c r="S593" s="44">
        <f ca="1">月次返済表!I595</f>
        <v>0</v>
      </c>
      <c r="T593" s="44">
        <f ca="1">月次返済表!R595</f>
        <v>0</v>
      </c>
      <c r="U593" s="44">
        <f ca="1">月次返済表!G595</f>
        <v>0</v>
      </c>
      <c r="V593" s="44"/>
      <c r="W593" s="44">
        <f t="shared" ca="1" si="16"/>
        <v>150233.43899516284</v>
      </c>
      <c r="X593" s="44">
        <f t="shared" ca="1" si="17"/>
        <v>150233.43899516284</v>
      </c>
    </row>
    <row r="594" spans="15:24">
      <c r="O594" s="43" t="str">
        <f>TEXT((月次返済表!A596-1)/12,"0.0")</f>
        <v>49.2</v>
      </c>
      <c r="P594" s="44">
        <f ca="1">月次返済表!S596</f>
        <v>0</v>
      </c>
      <c r="Q594" s="44">
        <f ca="1">月次返済表!T596</f>
        <v>0</v>
      </c>
      <c r="R594" s="44">
        <f ca="1">月次返済表!H596</f>
        <v>0</v>
      </c>
      <c r="S594" s="44">
        <f ca="1">月次返済表!I596</f>
        <v>0</v>
      </c>
      <c r="T594" s="44">
        <f ca="1">月次返済表!R596</f>
        <v>0</v>
      </c>
      <c r="U594" s="44">
        <f ca="1">月次返済表!G596</f>
        <v>0</v>
      </c>
      <c r="V594" s="44"/>
      <c r="W594" s="44">
        <f t="shared" ca="1" si="16"/>
        <v>150233.43899516284</v>
      </c>
      <c r="X594" s="44">
        <f t="shared" ca="1" si="17"/>
        <v>150233.43899516284</v>
      </c>
    </row>
    <row r="595" spans="15:24">
      <c r="O595" s="43" t="str">
        <f>TEXT((月次返済表!A597-1)/12,"0.0")</f>
        <v>49.3</v>
      </c>
      <c r="P595" s="44">
        <f ca="1">月次返済表!S597</f>
        <v>0</v>
      </c>
      <c r="Q595" s="44">
        <f ca="1">月次返済表!T597</f>
        <v>0</v>
      </c>
      <c r="R595" s="44">
        <f ca="1">月次返済表!H597</f>
        <v>0</v>
      </c>
      <c r="S595" s="44">
        <f ca="1">月次返済表!I597</f>
        <v>0</v>
      </c>
      <c r="T595" s="44">
        <f ca="1">月次返済表!R597</f>
        <v>0</v>
      </c>
      <c r="U595" s="44">
        <f ca="1">月次返済表!G597</f>
        <v>0</v>
      </c>
      <c r="V595" s="44"/>
      <c r="W595" s="44">
        <f t="shared" ca="1" si="16"/>
        <v>150233.43899516284</v>
      </c>
      <c r="X595" s="44">
        <f t="shared" ca="1" si="17"/>
        <v>150233.43899516284</v>
      </c>
    </row>
    <row r="596" spans="15:24">
      <c r="O596" s="43" t="str">
        <f>TEXT((月次返済表!A598-1)/12,"0.0")</f>
        <v>49.3</v>
      </c>
      <c r="P596" s="44">
        <f ca="1">月次返済表!S598</f>
        <v>0</v>
      </c>
      <c r="Q596" s="44">
        <f ca="1">月次返済表!T598</f>
        <v>0</v>
      </c>
      <c r="R596" s="44">
        <f ca="1">月次返済表!H598</f>
        <v>0</v>
      </c>
      <c r="S596" s="44">
        <f ca="1">月次返済表!I598</f>
        <v>0</v>
      </c>
      <c r="T596" s="44">
        <f ca="1">月次返済表!R598</f>
        <v>0</v>
      </c>
      <c r="U596" s="44">
        <f ca="1">月次返済表!G598</f>
        <v>0</v>
      </c>
      <c r="V596" s="44"/>
      <c r="W596" s="44">
        <f t="shared" ca="1" si="16"/>
        <v>150233.43899516284</v>
      </c>
      <c r="X596" s="44">
        <f t="shared" ca="1" si="17"/>
        <v>150233.43899516284</v>
      </c>
    </row>
    <row r="597" spans="15:24">
      <c r="O597" s="43" t="str">
        <f>TEXT((月次返済表!A599-1)/12,"0.0")</f>
        <v>49.4</v>
      </c>
      <c r="P597" s="44">
        <f ca="1">月次返済表!S599</f>
        <v>0</v>
      </c>
      <c r="Q597" s="44">
        <f ca="1">月次返済表!T599</f>
        <v>0</v>
      </c>
      <c r="R597" s="44">
        <f ca="1">月次返済表!H599</f>
        <v>0</v>
      </c>
      <c r="S597" s="44">
        <f ca="1">月次返済表!I599</f>
        <v>0</v>
      </c>
      <c r="T597" s="44">
        <f ca="1">月次返済表!R599</f>
        <v>0</v>
      </c>
      <c r="U597" s="44">
        <f ca="1">月次返済表!G599</f>
        <v>0</v>
      </c>
      <c r="V597" s="44"/>
      <c r="W597" s="44">
        <f t="shared" ca="1" si="16"/>
        <v>150233.43899516284</v>
      </c>
      <c r="X597" s="44">
        <f t="shared" ca="1" si="17"/>
        <v>150233.43899516284</v>
      </c>
    </row>
    <row r="598" spans="15:24">
      <c r="O598" s="43" t="str">
        <f>TEXT((月次返済表!A600-1)/12,"0.0")</f>
        <v>49.5</v>
      </c>
      <c r="P598" s="44">
        <f ca="1">月次返済表!S600</f>
        <v>0</v>
      </c>
      <c r="Q598" s="44">
        <f ca="1">月次返済表!T600</f>
        <v>0</v>
      </c>
      <c r="R598" s="44">
        <f ca="1">月次返済表!H600</f>
        <v>0</v>
      </c>
      <c r="S598" s="44">
        <f ca="1">月次返済表!I600</f>
        <v>0</v>
      </c>
      <c r="T598" s="44">
        <f ca="1">月次返済表!R600</f>
        <v>0</v>
      </c>
      <c r="U598" s="44">
        <f ca="1">月次返済表!G600</f>
        <v>0</v>
      </c>
      <c r="V598" s="44"/>
      <c r="W598" s="44">
        <f t="shared" ca="1" si="16"/>
        <v>150233.43899516284</v>
      </c>
      <c r="X598" s="44">
        <f t="shared" ca="1" si="17"/>
        <v>150233.43899516284</v>
      </c>
    </row>
    <row r="599" spans="15:24">
      <c r="O599" s="43" t="str">
        <f>TEXT((月次返済表!A601-1)/12,"0.0")</f>
        <v>49.6</v>
      </c>
      <c r="P599" s="44">
        <f ca="1">月次返済表!S601</f>
        <v>0</v>
      </c>
      <c r="Q599" s="44">
        <f ca="1">月次返済表!T601</f>
        <v>0</v>
      </c>
      <c r="R599" s="44">
        <f ca="1">月次返済表!H601</f>
        <v>0</v>
      </c>
      <c r="S599" s="44">
        <f ca="1">月次返済表!I601</f>
        <v>0</v>
      </c>
      <c r="T599" s="44">
        <f ca="1">月次返済表!R601</f>
        <v>0</v>
      </c>
      <c r="U599" s="44">
        <f ca="1">月次返済表!G601</f>
        <v>0</v>
      </c>
      <c r="V599" s="44"/>
      <c r="W599" s="44">
        <f t="shared" ca="1" si="16"/>
        <v>150233.43899516284</v>
      </c>
      <c r="X599" s="44">
        <f t="shared" ca="1" si="17"/>
        <v>150233.43899516284</v>
      </c>
    </row>
    <row r="600" spans="15:24">
      <c r="O600" s="43" t="str">
        <f>TEXT((月次返済表!A602-1)/12,"0.0")</f>
        <v>49.7</v>
      </c>
      <c r="P600" s="44">
        <f ca="1">月次返済表!S602</f>
        <v>0</v>
      </c>
      <c r="Q600" s="44">
        <f ca="1">月次返済表!T602</f>
        <v>0</v>
      </c>
      <c r="R600" s="44">
        <f ca="1">月次返済表!H602</f>
        <v>0</v>
      </c>
      <c r="S600" s="44">
        <f ca="1">月次返済表!I602</f>
        <v>0</v>
      </c>
      <c r="T600" s="44">
        <f ca="1">月次返済表!R602</f>
        <v>0</v>
      </c>
      <c r="U600" s="44">
        <f ca="1">月次返済表!G602</f>
        <v>0</v>
      </c>
      <c r="V600" s="44"/>
      <c r="W600" s="44">
        <f t="shared" ca="1" si="16"/>
        <v>150233.43899516284</v>
      </c>
      <c r="X600" s="44">
        <f t="shared" ca="1" si="17"/>
        <v>150233.43899516284</v>
      </c>
    </row>
    <row r="601" spans="15:24">
      <c r="O601" s="43" t="str">
        <f>TEXT((月次返済表!A603-1)/12,"0.0")</f>
        <v>49.8</v>
      </c>
      <c r="P601" s="44">
        <f ca="1">月次返済表!S603</f>
        <v>0</v>
      </c>
      <c r="Q601" s="44">
        <f ca="1">月次返済表!T603</f>
        <v>0</v>
      </c>
      <c r="R601" s="44">
        <f ca="1">月次返済表!H603</f>
        <v>0</v>
      </c>
      <c r="S601" s="44">
        <f ca="1">月次返済表!I603</f>
        <v>0</v>
      </c>
      <c r="T601" s="44">
        <f ca="1">月次返済表!R603</f>
        <v>0</v>
      </c>
      <c r="U601" s="44">
        <f ca="1">月次返済表!G603</f>
        <v>0</v>
      </c>
      <c r="V601" s="44"/>
      <c r="W601" s="44">
        <f t="shared" ca="1" si="16"/>
        <v>150233.43899516284</v>
      </c>
      <c r="X601" s="44">
        <f t="shared" ca="1" si="17"/>
        <v>150233.43899516284</v>
      </c>
    </row>
    <row r="602" spans="15:24">
      <c r="O602" s="43" t="str">
        <f>TEXT((月次返済表!A604-1)/12,"0.0")</f>
        <v>49.8</v>
      </c>
      <c r="P602" s="44">
        <f ca="1">月次返済表!S604</f>
        <v>0</v>
      </c>
      <c r="Q602" s="44">
        <f ca="1">月次返済表!T604</f>
        <v>0</v>
      </c>
      <c r="R602" s="44">
        <f ca="1">月次返済表!H604</f>
        <v>0</v>
      </c>
      <c r="S602" s="44">
        <f ca="1">月次返済表!I604</f>
        <v>0</v>
      </c>
      <c r="T602" s="44">
        <f ca="1">月次返済表!R604</f>
        <v>0</v>
      </c>
      <c r="U602" s="44">
        <f ca="1">月次返済表!G604</f>
        <v>0</v>
      </c>
      <c r="V602" s="44"/>
      <c r="W602" s="44">
        <f t="shared" ca="1" si="16"/>
        <v>150233.43899516284</v>
      </c>
      <c r="X602" s="44">
        <f t="shared" ca="1" si="17"/>
        <v>150233.43899516284</v>
      </c>
    </row>
    <row r="603" spans="15:24">
      <c r="O603" s="43" t="str">
        <f>TEXT((月次返済表!A605-1)/12,"0.0")</f>
        <v>49.9</v>
      </c>
      <c r="P603" s="44">
        <f ca="1">月次返済表!S605</f>
        <v>0</v>
      </c>
      <c r="Q603" s="44">
        <f ca="1">月次返済表!T605</f>
        <v>0</v>
      </c>
      <c r="R603" s="44">
        <f ca="1">月次返済表!H605</f>
        <v>0</v>
      </c>
      <c r="S603" s="44">
        <f ca="1">月次返済表!I605</f>
        <v>0</v>
      </c>
      <c r="T603" s="44">
        <f ca="1">月次返済表!R605</f>
        <v>0</v>
      </c>
      <c r="U603" s="44">
        <f ca="1">月次返済表!G605</f>
        <v>0</v>
      </c>
      <c r="V603" s="44"/>
      <c r="W603" s="44">
        <f t="shared" ca="1" si="16"/>
        <v>150233.43899516284</v>
      </c>
      <c r="X603" s="44">
        <f t="shared" ca="1" si="17"/>
        <v>150233.43899516284</v>
      </c>
    </row>
  </sheetData>
  <sheetProtection algorithmName="SHA-512" hashValue="JTWiEDKMKoM4fEbmSsEzrpUFubSyeoQMr3M+ZAXoHTew3QMuyCcsdQXBqHqHPeCXEAG6q3tMbzU+RxELeJLTqQ==" saltValue="vsJ74LjLZEfA1wOu2bHS3Q==" spinCount="100000" sheet="1" objects="1" scenarios="1"/>
  <mergeCells count="6">
    <mergeCell ref="E11:H12"/>
    <mergeCell ref="A3:D3"/>
    <mergeCell ref="F10:H10"/>
    <mergeCell ref="A38:H38"/>
    <mergeCell ref="A55:H55"/>
    <mergeCell ref="A74:H74"/>
  </mergeCells>
  <phoneticPr fontId="5"/>
  <conditionalFormatting sqref="A6:D15">
    <cfRule type="expression" dxfId="4" priority="1">
      <formula>$H$5="使用期限終了"</formula>
    </cfRule>
  </conditionalFormatting>
  <printOptions horizontalCentered="1" verticalCentered="1"/>
  <pageMargins left="0.70866141732283472" right="0.70866141732283472" top="0.35433070866141736" bottom="0.35433070866141736" header="0.31496062992125984" footer="0.31496062992125984"/>
  <pageSetup paperSize="8" scale="54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D52"/>
  </sheetPr>
  <dimension ref="A1:L65"/>
  <sheetViews>
    <sheetView showGridLines="0" tabSelected="1" topLeftCell="A4" workbookViewId="0">
      <selection activeCell="I8" sqref="I8"/>
    </sheetView>
  </sheetViews>
  <sheetFormatPr defaultRowHeight="15"/>
  <cols>
    <col min="1" max="1" width="29" style="4" customWidth="1"/>
    <col min="2" max="2" width="23" style="4" customWidth="1"/>
    <col min="3" max="5" width="15" style="4" customWidth="1"/>
    <col min="6" max="7" width="23" style="4" customWidth="1"/>
    <col min="8" max="12" width="15" style="4" customWidth="1"/>
    <col min="13" max="16384" width="8.796875" style="4"/>
  </cols>
  <sheetData>
    <row r="1" spans="1:12" ht="24" customHeight="1">
      <c r="A1" s="1" t="s">
        <v>29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</row>
    <row r="2" spans="1:12" ht="24" customHeight="1">
      <c r="A2" s="83" t="s">
        <v>130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spans="1:12" ht="24" customHeight="1">
      <c r="A3" s="3" t="s">
        <v>30</v>
      </c>
      <c r="B3" s="3"/>
      <c r="C3" s="3"/>
      <c r="D3" s="3"/>
      <c r="E3" s="3" t="s">
        <v>132</v>
      </c>
      <c r="F3" s="3"/>
      <c r="G3" s="3"/>
      <c r="H3" s="3"/>
      <c r="I3" s="3"/>
      <c r="J3" s="3"/>
      <c r="K3" s="3"/>
      <c r="L3" s="3"/>
    </row>
    <row r="4" spans="1:12" ht="31.95" customHeight="1">
      <c r="A4" s="3"/>
      <c r="B4" s="3"/>
      <c r="C4" s="3"/>
      <c r="D4" s="3"/>
      <c r="E4" s="5" t="s">
        <v>31</v>
      </c>
      <c r="F4" s="6" t="s">
        <v>32</v>
      </c>
      <c r="G4" s="7" t="s">
        <v>33</v>
      </c>
      <c r="H4" s="3"/>
      <c r="I4" s="3"/>
      <c r="J4" s="3"/>
      <c r="K4" s="3"/>
      <c r="L4" s="3"/>
    </row>
    <row r="5" spans="1:12" ht="24" customHeight="1">
      <c r="A5" s="58" t="s">
        <v>34</v>
      </c>
      <c r="B5" s="59">
        <v>35000000</v>
      </c>
      <c r="C5" s="3"/>
      <c r="D5" s="3"/>
      <c r="E5" s="46">
        <v>1</v>
      </c>
      <c r="F5" s="50">
        <v>60</v>
      </c>
      <c r="G5" s="51">
        <v>3000000</v>
      </c>
      <c r="H5" s="3"/>
      <c r="I5" s="3"/>
      <c r="J5" s="3"/>
      <c r="K5" s="3"/>
      <c r="L5" s="3"/>
    </row>
    <row r="6" spans="1:12" ht="24" customHeight="1">
      <c r="A6" s="58" t="s">
        <v>35</v>
      </c>
      <c r="B6" s="60">
        <v>35</v>
      </c>
      <c r="C6" s="3"/>
      <c r="D6" s="3"/>
      <c r="E6" s="46">
        <v>2</v>
      </c>
      <c r="F6" s="50"/>
      <c r="G6" s="51"/>
      <c r="H6" s="3"/>
      <c r="I6" s="3"/>
      <c r="J6" s="3"/>
      <c r="K6" s="3"/>
      <c r="L6" s="3"/>
    </row>
    <row r="7" spans="1:12" ht="24" customHeight="1">
      <c r="A7" s="58" t="s">
        <v>36</v>
      </c>
      <c r="B7" s="61">
        <v>46327</v>
      </c>
      <c r="C7" s="3"/>
      <c r="D7" s="3"/>
      <c r="E7" s="46">
        <v>3</v>
      </c>
      <c r="F7" s="50"/>
      <c r="G7" s="51"/>
      <c r="H7" s="3"/>
      <c r="I7" s="3"/>
      <c r="J7" s="3"/>
      <c r="K7" s="3"/>
      <c r="L7" s="3"/>
    </row>
    <row r="8" spans="1:12" ht="24" customHeight="1">
      <c r="A8" s="58" t="s">
        <v>37</v>
      </c>
      <c r="B8" s="62" t="s">
        <v>38</v>
      </c>
      <c r="C8" s="3"/>
      <c r="D8" s="3"/>
      <c r="E8" s="46">
        <v>4</v>
      </c>
      <c r="F8" s="50"/>
      <c r="G8" s="51"/>
      <c r="H8" s="3"/>
      <c r="I8" s="3"/>
      <c r="J8" s="3"/>
      <c r="K8" s="3"/>
      <c r="L8" s="3"/>
    </row>
    <row r="9" spans="1:12" ht="24" customHeight="1">
      <c r="A9" s="58" t="s">
        <v>39</v>
      </c>
      <c r="B9" s="63">
        <v>0</v>
      </c>
      <c r="C9" s="3"/>
      <c r="D9" s="3"/>
      <c r="E9" s="46">
        <v>5</v>
      </c>
      <c r="F9" s="50"/>
      <c r="G9" s="51"/>
      <c r="H9" s="3"/>
      <c r="I9" s="3"/>
      <c r="J9" s="3"/>
      <c r="K9" s="3"/>
      <c r="L9" s="3"/>
    </row>
    <row r="10" spans="1:12" ht="24" customHeight="1">
      <c r="A10" s="58" t="s">
        <v>40</v>
      </c>
      <c r="B10" s="58" t="s">
        <v>131</v>
      </c>
      <c r="C10" s="3"/>
      <c r="D10" s="3"/>
      <c r="E10" s="46">
        <v>6</v>
      </c>
      <c r="F10" s="50"/>
      <c r="G10" s="51"/>
      <c r="H10" s="3"/>
      <c r="I10" s="3"/>
      <c r="J10" s="3"/>
      <c r="K10" s="3"/>
      <c r="L10" s="3"/>
    </row>
    <row r="11" spans="1:12" ht="24" customHeight="1">
      <c r="A11" s="58" t="s">
        <v>41</v>
      </c>
      <c r="B11" s="64" t="s">
        <v>42</v>
      </c>
      <c r="C11" s="3"/>
      <c r="D11" s="3"/>
      <c r="E11" s="46">
        <v>7</v>
      </c>
      <c r="F11" s="50"/>
      <c r="G11" s="51"/>
      <c r="H11" s="3"/>
      <c r="I11" s="3"/>
      <c r="J11" s="3"/>
      <c r="K11" s="3"/>
      <c r="L11" s="3"/>
    </row>
    <row r="12" spans="1:12" ht="24" customHeight="1">
      <c r="A12" s="3"/>
      <c r="B12" s="3"/>
      <c r="C12" s="3"/>
      <c r="D12" s="3"/>
      <c r="E12" s="46">
        <v>8</v>
      </c>
      <c r="F12" s="50"/>
      <c r="G12" s="51"/>
      <c r="H12" s="3"/>
      <c r="I12" s="3"/>
      <c r="J12" s="3"/>
      <c r="K12" s="3"/>
      <c r="L12" s="3"/>
    </row>
    <row r="13" spans="1:12" ht="30" customHeight="1">
      <c r="A13" s="4" t="s">
        <v>133</v>
      </c>
      <c r="D13" s="3"/>
      <c r="E13" s="46">
        <v>9</v>
      </c>
      <c r="F13" s="50"/>
      <c r="G13" s="51"/>
      <c r="H13" s="3"/>
      <c r="I13" s="3"/>
      <c r="J13" s="3"/>
      <c r="K13" s="3"/>
      <c r="L13" s="3"/>
    </row>
    <row r="14" spans="1:12" ht="24" customHeight="1">
      <c r="A14" s="5" t="s">
        <v>43</v>
      </c>
      <c r="B14" s="6" t="s">
        <v>44</v>
      </c>
      <c r="C14" s="7" t="s">
        <v>45</v>
      </c>
      <c r="D14" s="3"/>
      <c r="E14" s="46">
        <v>10</v>
      </c>
      <c r="F14" s="50"/>
      <c r="G14" s="51"/>
      <c r="H14" s="3"/>
      <c r="I14" s="3"/>
      <c r="J14" s="3"/>
      <c r="K14" s="3"/>
      <c r="L14" s="3"/>
    </row>
    <row r="15" spans="1:12" ht="24" customHeight="1">
      <c r="A15" s="46">
        <v>1</v>
      </c>
      <c r="B15" s="47">
        <v>5</v>
      </c>
      <c r="C15" s="54">
        <v>1.11E-2</v>
      </c>
      <c r="D15" s="3"/>
      <c r="E15" s="46">
        <v>11</v>
      </c>
      <c r="F15" s="50"/>
      <c r="G15" s="51"/>
      <c r="H15" s="3"/>
      <c r="I15" s="3"/>
      <c r="J15" s="3"/>
      <c r="K15" s="3"/>
      <c r="L15" s="3"/>
    </row>
    <row r="16" spans="1:12" ht="24" customHeight="1">
      <c r="A16" s="46">
        <v>6</v>
      </c>
      <c r="B16" s="47">
        <v>10</v>
      </c>
      <c r="C16" s="54">
        <v>2.5000000000000001E-2</v>
      </c>
      <c r="D16" s="3"/>
      <c r="E16" s="46">
        <v>12</v>
      </c>
      <c r="F16" s="50"/>
      <c r="G16" s="51"/>
      <c r="H16" s="3"/>
      <c r="I16" s="3"/>
      <c r="J16" s="3"/>
      <c r="K16" s="3"/>
      <c r="L16" s="3"/>
    </row>
    <row r="17" spans="1:12" ht="24" customHeight="1">
      <c r="A17" s="46">
        <v>11</v>
      </c>
      <c r="B17" s="47">
        <v>15</v>
      </c>
      <c r="C17" s="54">
        <v>0.03</v>
      </c>
      <c r="D17" s="3"/>
      <c r="E17" s="46">
        <v>13</v>
      </c>
      <c r="F17" s="50"/>
      <c r="G17" s="51"/>
      <c r="H17" s="3"/>
      <c r="I17" s="3"/>
      <c r="J17" s="3"/>
      <c r="K17" s="3"/>
      <c r="L17" s="3"/>
    </row>
    <row r="18" spans="1:12" ht="24" customHeight="1">
      <c r="A18" s="46">
        <v>16</v>
      </c>
      <c r="B18" s="47">
        <v>20</v>
      </c>
      <c r="C18" s="54">
        <v>0.04</v>
      </c>
      <c r="D18" s="3"/>
      <c r="E18" s="46">
        <v>14</v>
      </c>
      <c r="F18" s="50"/>
      <c r="G18" s="51"/>
      <c r="H18" s="3"/>
      <c r="I18" s="3"/>
      <c r="J18" s="3"/>
      <c r="K18" s="3"/>
      <c r="L18" s="3"/>
    </row>
    <row r="19" spans="1:12" ht="24" customHeight="1">
      <c r="A19" s="46">
        <v>21</v>
      </c>
      <c r="B19" s="47">
        <v>25</v>
      </c>
      <c r="C19" s="54">
        <v>0.05</v>
      </c>
      <c r="D19" s="3"/>
      <c r="E19" s="46">
        <v>15</v>
      </c>
      <c r="F19" s="50"/>
      <c r="G19" s="51"/>
      <c r="H19" s="3"/>
      <c r="I19" s="3"/>
      <c r="J19" s="3"/>
      <c r="K19" s="3"/>
      <c r="L19" s="3"/>
    </row>
    <row r="20" spans="1:12" ht="24" customHeight="1">
      <c r="A20" s="46">
        <v>26</v>
      </c>
      <c r="B20" s="47">
        <v>30</v>
      </c>
      <c r="C20" s="54">
        <v>0.05</v>
      </c>
      <c r="D20" s="3"/>
      <c r="E20" s="46">
        <v>16</v>
      </c>
      <c r="F20" s="50"/>
      <c r="G20" s="51"/>
      <c r="H20" s="3"/>
      <c r="I20" s="3"/>
      <c r="J20" s="3"/>
      <c r="K20" s="3"/>
      <c r="L20" s="3"/>
    </row>
    <row r="21" spans="1:12" ht="24" customHeight="1">
      <c r="A21" s="46">
        <v>31</v>
      </c>
      <c r="B21" s="47">
        <v>35</v>
      </c>
      <c r="C21" s="54">
        <v>0.05</v>
      </c>
      <c r="D21" s="3"/>
      <c r="E21" s="46">
        <v>17</v>
      </c>
      <c r="F21" s="50"/>
      <c r="G21" s="51"/>
      <c r="H21" s="3"/>
      <c r="I21" s="3"/>
      <c r="J21" s="3"/>
      <c r="K21" s="3"/>
      <c r="L21" s="3"/>
    </row>
    <row r="22" spans="1:12" ht="24" customHeight="1">
      <c r="A22" s="46">
        <v>36</v>
      </c>
      <c r="B22" s="47">
        <v>40</v>
      </c>
      <c r="C22" s="54">
        <v>0.05</v>
      </c>
      <c r="D22" s="3"/>
      <c r="E22" s="46">
        <v>18</v>
      </c>
      <c r="F22" s="50"/>
      <c r="G22" s="51"/>
      <c r="H22" s="3"/>
      <c r="I22" s="3"/>
      <c r="J22" s="3"/>
      <c r="K22" s="3"/>
      <c r="L22" s="3"/>
    </row>
    <row r="23" spans="1:12" ht="24" customHeight="1">
      <c r="A23" s="46">
        <v>41</v>
      </c>
      <c r="B23" s="47">
        <v>45</v>
      </c>
      <c r="C23" s="54">
        <v>0.05</v>
      </c>
      <c r="D23" s="3"/>
      <c r="E23" s="46">
        <v>19</v>
      </c>
      <c r="F23" s="50"/>
      <c r="G23" s="51"/>
      <c r="H23" s="3"/>
      <c r="I23" s="3"/>
      <c r="J23" s="3"/>
      <c r="K23" s="3"/>
      <c r="L23" s="3"/>
    </row>
    <row r="24" spans="1:12" ht="24" customHeight="1">
      <c r="A24" s="48">
        <v>46</v>
      </c>
      <c r="B24" s="49">
        <v>50</v>
      </c>
      <c r="C24" s="55">
        <v>0.05</v>
      </c>
      <c r="D24" s="3"/>
      <c r="E24" s="48">
        <v>20</v>
      </c>
      <c r="F24" s="52"/>
      <c r="G24" s="53"/>
      <c r="H24" s="3"/>
      <c r="I24" s="3"/>
      <c r="J24" s="3"/>
      <c r="K24" s="3"/>
      <c r="L24" s="3"/>
    </row>
    <row r="25" spans="1:12" ht="24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24" customHeight="1">
      <c r="D26" s="3"/>
      <c r="E26" s="3"/>
      <c r="F26" s="3"/>
      <c r="G26" s="3"/>
      <c r="H26" s="3"/>
      <c r="I26" s="3"/>
      <c r="J26" s="3"/>
      <c r="K26" s="3"/>
      <c r="L26" s="3"/>
    </row>
    <row r="27" spans="1:12" ht="24" customHeight="1">
      <c r="D27" s="3"/>
      <c r="E27" s="3"/>
      <c r="F27" s="3"/>
      <c r="G27" s="3"/>
      <c r="H27" s="3"/>
      <c r="I27" s="3"/>
      <c r="J27" s="3"/>
      <c r="K27" s="3"/>
      <c r="L27" s="3"/>
    </row>
    <row r="28" spans="1:12" ht="24" customHeight="1">
      <c r="D28" s="3"/>
      <c r="E28" s="3"/>
      <c r="F28" s="3"/>
      <c r="G28" s="3"/>
      <c r="H28" s="3"/>
      <c r="I28" s="3"/>
      <c r="J28" s="3"/>
      <c r="K28" s="3"/>
      <c r="L28" s="3"/>
    </row>
    <row r="29" spans="1:12" ht="25.05" customHeight="1">
      <c r="D29" s="3"/>
      <c r="E29" s="3"/>
      <c r="F29" s="3"/>
      <c r="G29" s="3"/>
      <c r="H29" s="3"/>
      <c r="I29" s="3"/>
      <c r="J29" s="3"/>
      <c r="K29" s="3"/>
      <c r="L29" s="3"/>
    </row>
    <row r="30" spans="1:12" ht="25.05" customHeight="1">
      <c r="D30" s="3"/>
      <c r="E30" s="3"/>
      <c r="F30" s="3"/>
      <c r="G30" s="3"/>
      <c r="H30" s="3"/>
      <c r="I30" s="3"/>
      <c r="J30" s="3"/>
      <c r="K30" s="3"/>
      <c r="L30" s="3"/>
    </row>
    <row r="31" spans="1:12" ht="25.05" customHeight="1">
      <c r="D31" s="3"/>
      <c r="E31" s="3"/>
      <c r="F31" s="3"/>
      <c r="G31" s="3"/>
      <c r="H31" s="3"/>
      <c r="I31" s="3"/>
      <c r="J31" s="3"/>
      <c r="K31" s="3"/>
      <c r="L31" s="3"/>
    </row>
    <row r="32" spans="1:12" ht="25.05" customHeight="1">
      <c r="D32" s="3"/>
      <c r="E32" s="3"/>
      <c r="F32" s="3"/>
      <c r="G32" s="3"/>
      <c r="H32" s="3"/>
      <c r="I32" s="3"/>
      <c r="J32" s="3"/>
      <c r="K32" s="3"/>
      <c r="L32" s="3"/>
    </row>
    <row r="33" spans="1:12" ht="25.05" customHeight="1">
      <c r="D33" s="3"/>
      <c r="E33" s="3"/>
      <c r="F33" s="3"/>
      <c r="G33" s="3"/>
      <c r="H33" s="3"/>
      <c r="I33" s="3"/>
      <c r="J33" s="3"/>
      <c r="K33" s="3"/>
      <c r="L33" s="3"/>
    </row>
    <row r="34" spans="1:12" ht="24" customHeight="1">
      <c r="D34" s="3"/>
      <c r="E34" s="3"/>
      <c r="F34" s="3"/>
      <c r="G34" s="3"/>
      <c r="H34" s="3"/>
      <c r="I34" s="3"/>
      <c r="J34" s="3"/>
      <c r="K34" s="3"/>
      <c r="L34" s="3"/>
    </row>
    <row r="35" spans="1:12" ht="24" customHeight="1">
      <c r="D35" s="3"/>
      <c r="E35" s="3"/>
      <c r="F35" s="3"/>
      <c r="G35" s="3"/>
      <c r="H35" s="3"/>
      <c r="I35" s="3"/>
      <c r="J35" s="3"/>
      <c r="K35" s="3"/>
      <c r="L35" s="3"/>
    </row>
    <row r="36" spans="1:12" ht="24" customHeight="1">
      <c r="D36" s="3"/>
      <c r="E36" s="3"/>
      <c r="F36" s="3"/>
      <c r="G36" s="3"/>
      <c r="H36" s="3"/>
      <c r="I36" s="3"/>
      <c r="J36" s="3"/>
      <c r="K36" s="3"/>
      <c r="L36" s="3"/>
    </row>
    <row r="37" spans="1:12" ht="24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24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24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24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24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24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24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24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24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24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24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24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24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24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24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24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24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24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24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24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24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24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24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24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24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24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24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24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24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sheetProtection algorithmName="SHA-512" hashValue="ep5rbUqmo50Y1MUJc70m+iLq++W8u+ImcoPogu3hHWqNBqnFTvaWw5u+Y9U0iX2relhBr1jWFkXg2WnkT9JVQA==" saltValue="p8lHZ0bjJoYxVxGKnQfRlQ==" spinCount="100000" sheet="1" objects="1" scenarios="1"/>
  <phoneticPr fontId="5"/>
  <dataValidations count="8">
    <dataValidation type="list" sqref="B8" xr:uid="{00000000-0002-0000-0100-000000000000}">
      <formula1>"返済額軽減型,期間短縮型"</formula1>
    </dataValidation>
    <dataValidation type="decimal" sqref="B5" xr:uid="{00000000-0002-0000-0100-000001000000}">
      <formula1>1</formula1>
      <formula2>1000000000</formula2>
    </dataValidation>
    <dataValidation type="whole" sqref="B6" xr:uid="{00000000-0002-0000-0100-000002000000}">
      <formula1>1</formula1>
      <formula2>50</formula2>
    </dataValidation>
    <dataValidation type="decimal" sqref="B9" xr:uid="{00000000-0002-0000-0100-000003000000}">
      <formula1>0</formula1>
      <formula2>10000000</formula2>
    </dataValidation>
    <dataValidation type="decimal" sqref="C15:C24" xr:uid="{00000000-0002-0000-0100-000004000000}">
      <formula1>0</formula1>
      <formula2>1</formula2>
    </dataValidation>
    <dataValidation type="whole" sqref="F5:F24" xr:uid="{00000000-0002-0000-0100-000005000000}">
      <formula1>1</formula1>
      <formula2>600</formula2>
    </dataValidation>
    <dataValidation type="decimal" sqref="G5:G24" xr:uid="{00000000-0002-0000-0100-000006000000}">
      <formula1>0</formula1>
      <formula2>1000000000</formula2>
    </dataValidation>
    <dataValidation type="list" sqref="B11" xr:uid="{00000000-0002-0000-0100-000007000000}">
      <formula1>"翌月,次の60回見直し時"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73D52"/>
    <pageSetUpPr fitToPage="1"/>
  </sheetPr>
  <dimension ref="A1:AF605"/>
  <sheetViews>
    <sheetView showGridLines="0" workbookViewId="0">
      <pane ySplit="5" topLeftCell="A6" activePane="bottomLeft" state="frozen"/>
      <selection pane="bottomLeft" activeCell="J599" sqref="J599"/>
    </sheetView>
  </sheetViews>
  <sheetFormatPr defaultRowHeight="15"/>
  <cols>
    <col min="1" max="1" width="8" style="4" customWidth="1"/>
    <col min="2" max="24" width="17" style="4" customWidth="1"/>
    <col min="25" max="31" width="19" style="4" customWidth="1"/>
    <col min="32" max="32" width="20" style="4" customWidth="1"/>
    <col min="33" max="16384" width="8.796875" style="4"/>
  </cols>
  <sheetData>
    <row r="1" spans="1:32" ht="24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32" ht="13.8" customHeight="1">
      <c r="A2" s="83" t="s">
        <v>130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32" ht="13.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2" ht="24" customHeight="1">
      <c r="A4" s="3" t="s">
        <v>123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2" s="67" customFormat="1" ht="30" customHeight="1">
      <c r="A5" s="56" t="s">
        <v>47</v>
      </c>
      <c r="B5" s="57" t="s">
        <v>48</v>
      </c>
      <c r="C5" s="57" t="s">
        <v>45</v>
      </c>
      <c r="D5" s="57" t="s">
        <v>49</v>
      </c>
      <c r="E5" s="57" t="s">
        <v>50</v>
      </c>
      <c r="F5" s="57" t="s">
        <v>51</v>
      </c>
      <c r="G5" s="57" t="s">
        <v>52</v>
      </c>
      <c r="H5" s="57" t="s">
        <v>53</v>
      </c>
      <c r="I5" s="57" t="s">
        <v>54</v>
      </c>
      <c r="J5" s="57" t="s">
        <v>55</v>
      </c>
      <c r="K5" s="57" t="s">
        <v>56</v>
      </c>
      <c r="L5" s="57" t="s">
        <v>57</v>
      </c>
      <c r="M5" s="57" t="s">
        <v>58</v>
      </c>
      <c r="N5" s="57" t="s">
        <v>59</v>
      </c>
      <c r="O5" s="57" t="s">
        <v>60</v>
      </c>
      <c r="P5" s="57" t="s">
        <v>61</v>
      </c>
      <c r="Q5" s="57" t="s">
        <v>62</v>
      </c>
      <c r="R5" s="57" t="s">
        <v>63</v>
      </c>
      <c r="S5" s="57" t="s">
        <v>64</v>
      </c>
      <c r="T5" s="57" t="s">
        <v>65</v>
      </c>
      <c r="U5" s="57" t="s">
        <v>66</v>
      </c>
      <c r="V5" s="57" t="s">
        <v>67</v>
      </c>
      <c r="W5" s="57" t="s">
        <v>68</v>
      </c>
      <c r="X5" s="57" t="s">
        <v>69</v>
      </c>
      <c r="Y5" s="65" t="s">
        <v>70</v>
      </c>
      <c r="Z5" s="65" t="s">
        <v>71</v>
      </c>
      <c r="AA5" s="65" t="s">
        <v>72</v>
      </c>
      <c r="AB5" s="65" t="s">
        <v>73</v>
      </c>
      <c r="AC5" s="65" t="s">
        <v>74</v>
      </c>
      <c r="AD5" s="65" t="s">
        <v>75</v>
      </c>
      <c r="AE5" s="65" t="s">
        <v>76</v>
      </c>
      <c r="AF5" s="66" t="s">
        <v>77</v>
      </c>
    </row>
    <row r="6" spans="1:32" ht="21" customHeight="1">
      <c r="A6" s="68">
        <f ca="1">IF(結果サマリー!H5="使用期間中",1,0)</f>
        <v>1</v>
      </c>
      <c r="B6" s="69">
        <f ca="1">EDATE(入力設定!$B$7,A6-1)</f>
        <v>46327</v>
      </c>
      <c r="C6" s="80">
        <f ca="1">INDEX(入力設定!$C$15:$C$24,INT((A6-1)/60)+1)</f>
        <v>1.11E-2</v>
      </c>
      <c r="D6" s="70">
        <f>入力設定!$B$5</f>
        <v>35000000</v>
      </c>
      <c r="E6" s="70">
        <f>入力設定!$B$6*12</f>
        <v>420</v>
      </c>
      <c r="F6" s="70">
        <f ca="1">IF(D6+Z6&lt;0.000001,0,IF(D6&lt;0.000001,0,IF(TRUE,IF(C6=0,D6/MAX(1,E6),D6*(C6/12)/(1-(1+C6/12)^(-MAX(1,E6)))),0)))</f>
        <v>100604.4016546396</v>
      </c>
      <c r="G6" s="70">
        <f t="shared" ref="G6:G69" ca="1" si="0">IF(D6+Z6&lt;0.000001,0,IF(E6&lt;=1,D6+Y6+Z6,MIN(D6+Y6+Z6,F6)))</f>
        <v>100604.4016546396</v>
      </c>
      <c r="H6" s="70">
        <f t="shared" ref="H6:H69" ca="1" si="1">MIN(G6,Y6+Z6)</f>
        <v>32375</v>
      </c>
      <c r="I6" s="70">
        <f t="shared" ref="I6:I69" ca="1" si="2">G6-H6</f>
        <v>68229.401654639601</v>
      </c>
      <c r="J6" s="70">
        <f ca="1">SUMIFS(入力設定!$G$5:$G$24,入力設定!$F$5:$F$24,A6)</f>
        <v>0</v>
      </c>
      <c r="K6" s="70">
        <f t="shared" ref="K6:K69" ca="1" si="3">MIN(MAX(0,D6-I6),J6)</f>
        <v>0</v>
      </c>
      <c r="L6" s="70">
        <f ca="1">IF(K6&gt;0,入力設定!$B$9,0)</f>
        <v>0</v>
      </c>
      <c r="M6" s="70">
        <f t="shared" ref="M6:M69" ca="1" si="4">MAX(0,D6-I6-K6)</f>
        <v>34931770.598345362</v>
      </c>
      <c r="N6" s="70">
        <f ca="1">IF(M6+AA6&lt;0.000001,0,IF(AND(K6&gt;0,入力設定!$B$8="期間短縮型",AA6&lt;0.000001,F6&gt;M6*C6/12),MAX(1,MIN(E6-1,IF(C6=0,ROUNDUP(M6/F6,0),ROUNDUP(-LN(1-M6*(C6/12)/F6)/LN(1+C6/12),0)))),MAX(1,E6-1)))</f>
        <v>419</v>
      </c>
      <c r="O6" s="70">
        <f t="shared" ref="O6:O69" ca="1" si="5">SUM(G6,K6,L6)</f>
        <v>100604.4016546396</v>
      </c>
      <c r="P6" s="70">
        <f>入力設定!$B$5</f>
        <v>35000000</v>
      </c>
      <c r="Q6" s="70">
        <f ca="1">IF(OR(A6&gt;入力設定!$B$6*12,P6+AC6&lt;0.000001),0,IF(P6&lt;0.000001,0,IF(AE6=1,IF(C6=0,P6/MAX(1,入力設定!$B$6*12-A6+1),P6*(C6/12)/(1-(1+C6/12)^(-MAX(1,入力設定!$B$6*12-A6+1)))),0)))</f>
        <v>100604.4016546396</v>
      </c>
      <c r="R6" s="70">
        <f ca="1">IF(P6+AC6&lt;0.000001,0,IF(A6=入力設定!$B$6*12,P6+AB6+AC6,MIN(Q6,P6+AB6+AC6)))</f>
        <v>100604.4016546396</v>
      </c>
      <c r="S6" s="70">
        <f t="shared" ref="S6:S69" ca="1" si="6">MIN(R6,AB6+AC6)</f>
        <v>32375</v>
      </c>
      <c r="T6" s="70">
        <f t="shared" ref="T6:T69" ca="1" si="7">R6-S6</f>
        <v>68229.401654639601</v>
      </c>
      <c r="U6" s="70">
        <f t="shared" ref="U6:U69" ca="1" si="8">MAX(0,P6-T6)</f>
        <v>34931770.598345362</v>
      </c>
      <c r="V6" s="70">
        <f t="shared" ref="V6:V69" ca="1" si="9">D6-I6-K6-M6</f>
        <v>0</v>
      </c>
      <c r="W6" s="70">
        <f t="shared" ref="W6:W69" ca="1" si="10">P6-T6-U6</f>
        <v>0</v>
      </c>
      <c r="X6" s="70">
        <f t="shared" ref="X6:X69" ca="1" si="11">O6-G6-K6-L6</f>
        <v>0</v>
      </c>
      <c r="Y6" s="71">
        <f t="shared" ref="Y6:Y69" ca="1" si="12">D6*C6/12</f>
        <v>32375</v>
      </c>
      <c r="Z6" s="71">
        <f>0</f>
        <v>0</v>
      </c>
      <c r="AA6" s="71">
        <f t="shared" ref="AA6:AA69" ca="1" si="13">MAX(0,Z6+Y6-H6)</f>
        <v>0</v>
      </c>
      <c r="AB6" s="71">
        <f t="shared" ref="AB6:AB69" ca="1" si="14">P6*C6/12</f>
        <v>32375</v>
      </c>
      <c r="AC6" s="71">
        <f>0</f>
        <v>0</v>
      </c>
      <c r="AD6" s="71">
        <f t="shared" ref="AD6:AD69" ca="1" si="15">MAX(0,AC6+AB6-S6)</f>
        <v>0</v>
      </c>
      <c r="AE6" s="72">
        <f t="shared" ref="AE6:AE69" ca="1" si="16">IF(MOD(A6-1,60)=0,1,0)</f>
        <v>1</v>
      </c>
      <c r="AF6" s="73">
        <f ca="1">IF(A6&gt;入力設定!$B$6*12,0,IF(AND(ISNUMBER(C6),C6&gt;=0,C6&lt;=1),0,1))</f>
        <v>0</v>
      </c>
    </row>
    <row r="7" spans="1:32" ht="21" customHeight="1">
      <c r="A7" s="68">
        <f>2</f>
        <v>2</v>
      </c>
      <c r="B7" s="69">
        <f>EDATE(入力設定!$B$7,A7-1)</f>
        <v>46357</v>
      </c>
      <c r="C7" s="80">
        <f>INDEX(入力設定!$C$15:$C$24,INT((A7-1)/60)+1)</f>
        <v>1.11E-2</v>
      </c>
      <c r="D7" s="70">
        <f t="shared" ref="D7:D70" ca="1" si="17">M6</f>
        <v>34931770.598345362</v>
      </c>
      <c r="E7" s="70">
        <f t="shared" ref="E7:E70" ca="1" si="18">N6</f>
        <v>419</v>
      </c>
      <c r="F7" s="70">
        <f ca="1">IF(D7+Z7&lt;0.000001,0,IF(D7&lt;0.000001,F6,IF(OR(AE7=1,AND(K6&gt;0,入力設定!$B$8="返済額軽減型",入力設定!$B$11="翌月")),IF(C7=0,D7/MAX(1,E7),D7*(C7/12)/(1-(1+C7/12)^(-MAX(1,E7)))),F6)))</f>
        <v>100604.4016546396</v>
      </c>
      <c r="G7" s="70">
        <f t="shared" ca="1" si="0"/>
        <v>100604.4016546396</v>
      </c>
      <c r="H7" s="70">
        <f t="shared" ca="1" si="1"/>
        <v>32311.887803469461</v>
      </c>
      <c r="I7" s="70">
        <f t="shared" ca="1" si="2"/>
        <v>68292.513851170137</v>
      </c>
      <c r="J7" s="70">
        <f>SUMIFS(入力設定!$G$5:$G$24,入力設定!$F$5:$F$24,A7)</f>
        <v>0</v>
      </c>
      <c r="K7" s="70">
        <f t="shared" ca="1" si="3"/>
        <v>0</v>
      </c>
      <c r="L7" s="70">
        <f ca="1">IF(K7&gt;0,入力設定!$B$9,0)</f>
        <v>0</v>
      </c>
      <c r="M7" s="70">
        <f t="shared" ca="1" si="4"/>
        <v>34863478.084494188</v>
      </c>
      <c r="N7" s="70">
        <f ca="1">IF(M7+AA7&lt;0.000001,0,IF(AND(K7&gt;0,入力設定!$B$8="期間短縮型",AA7&lt;0.000001,F7&gt;M7*C7/12),MAX(1,MIN(E7-1,IF(C7=0,ROUNDUP(M7/F7,0),ROUNDUP(-LN(1-M7*(C7/12)/F7)/LN(1+C7/12),0)))),MAX(1,E7-1)))</f>
        <v>418</v>
      </c>
      <c r="O7" s="70">
        <f t="shared" ca="1" si="5"/>
        <v>100604.4016546396</v>
      </c>
      <c r="P7" s="70">
        <f t="shared" ref="P7:P70" ca="1" si="19">U6</f>
        <v>34931770.598345362</v>
      </c>
      <c r="Q7" s="70">
        <f ca="1">IF(OR(A7&gt;入力設定!$B$6*12,P7+AC7&lt;0.000001),0,IF(P7&lt;0.000001,Q6,IF(AE7=1,IF(C7=0,P7/MAX(1,入力設定!$B$6*12-A7+1),P7*(C7/12)/(1-(1+C7/12)^(-MAX(1,入力設定!$B$6*12-A7+1)))),Q6)))</f>
        <v>100604.4016546396</v>
      </c>
      <c r="R7" s="70">
        <f ca="1">IF(P7+AC7&lt;0.000001,0,IF(A7=入力設定!$B$6*12,P7+AB7+AC7,MIN(Q7,P7+AB7+AC7)))</f>
        <v>100604.4016546396</v>
      </c>
      <c r="S7" s="70">
        <f t="shared" ca="1" si="6"/>
        <v>32311.887803469461</v>
      </c>
      <c r="T7" s="70">
        <f t="shared" ca="1" si="7"/>
        <v>68292.513851170137</v>
      </c>
      <c r="U7" s="70">
        <f t="shared" ca="1" si="8"/>
        <v>34863478.084494188</v>
      </c>
      <c r="V7" s="70">
        <f t="shared" ca="1" si="9"/>
        <v>0</v>
      </c>
      <c r="W7" s="70">
        <f t="shared" ca="1" si="10"/>
        <v>0</v>
      </c>
      <c r="X7" s="70">
        <f t="shared" ca="1" si="11"/>
        <v>0</v>
      </c>
      <c r="Y7" s="71">
        <f t="shared" ca="1" si="12"/>
        <v>32311.887803469461</v>
      </c>
      <c r="Z7" s="71">
        <f t="shared" ref="Z7:Z70" ca="1" si="20">AA6</f>
        <v>0</v>
      </c>
      <c r="AA7" s="71">
        <f t="shared" ca="1" si="13"/>
        <v>0</v>
      </c>
      <c r="AB7" s="71">
        <f t="shared" ca="1" si="14"/>
        <v>32311.887803469461</v>
      </c>
      <c r="AC7" s="71">
        <f t="shared" ref="AC7:AC70" ca="1" si="21">AD6</f>
        <v>0</v>
      </c>
      <c r="AD7" s="71">
        <f t="shared" ca="1" si="15"/>
        <v>0</v>
      </c>
      <c r="AE7" s="72">
        <f t="shared" si="16"/>
        <v>0</v>
      </c>
      <c r="AF7" s="73">
        <f>IF(A7&gt;入力設定!$B$6*12,0,IF(AND(ISNUMBER(C7),C7&gt;=0,C7&lt;=1),0,1))</f>
        <v>0</v>
      </c>
    </row>
    <row r="8" spans="1:32" ht="21" customHeight="1">
      <c r="A8" s="68">
        <f>3</f>
        <v>3</v>
      </c>
      <c r="B8" s="69">
        <f>EDATE(入力設定!$B$7,A8-1)</f>
        <v>46388</v>
      </c>
      <c r="C8" s="80">
        <f>INDEX(入力設定!$C$15:$C$24,INT((A8-1)/60)+1)</f>
        <v>1.11E-2</v>
      </c>
      <c r="D8" s="70">
        <f t="shared" ca="1" si="17"/>
        <v>34863478.084494188</v>
      </c>
      <c r="E8" s="70">
        <f t="shared" ca="1" si="18"/>
        <v>418</v>
      </c>
      <c r="F8" s="70">
        <f ca="1">IF(D8+Z8&lt;0.000001,0,IF(D8&lt;0.000001,F7,IF(OR(AE8=1,AND(K7&gt;0,入力設定!$B$8="返済額軽減型",入力設定!$B$11="翌月")),IF(C8=0,D8/MAX(1,E8),D8*(C8/12)/(1-(1+C8/12)^(-MAX(1,E8)))),F7)))</f>
        <v>100604.4016546396</v>
      </c>
      <c r="G8" s="70">
        <f t="shared" ca="1" si="0"/>
        <v>100604.4016546396</v>
      </c>
      <c r="H8" s="70">
        <f t="shared" ca="1" si="1"/>
        <v>32248.717228157126</v>
      </c>
      <c r="I8" s="70">
        <f t="shared" ca="1" si="2"/>
        <v>68355.684426482476</v>
      </c>
      <c r="J8" s="70">
        <f>SUMIFS(入力設定!$G$5:$G$24,入力設定!$F$5:$F$24,A8)</f>
        <v>0</v>
      </c>
      <c r="K8" s="70">
        <f t="shared" ca="1" si="3"/>
        <v>0</v>
      </c>
      <c r="L8" s="70">
        <f ca="1">IF(K8&gt;0,入力設定!$B$9,0)</f>
        <v>0</v>
      </c>
      <c r="M8" s="70">
        <f t="shared" ca="1" si="4"/>
        <v>34795122.400067709</v>
      </c>
      <c r="N8" s="70">
        <f ca="1">IF(M8+AA8&lt;0.000001,0,IF(AND(K8&gt;0,入力設定!$B$8="期間短縮型",AA8&lt;0.000001,F8&gt;M8*C8/12),MAX(1,MIN(E8-1,IF(C8=0,ROUNDUP(M8/F8,0),ROUNDUP(-LN(1-M8*(C8/12)/F8)/LN(1+C8/12),0)))),MAX(1,E8-1)))</f>
        <v>417</v>
      </c>
      <c r="O8" s="70">
        <f t="shared" ca="1" si="5"/>
        <v>100604.4016546396</v>
      </c>
      <c r="P8" s="70">
        <f t="shared" ca="1" si="19"/>
        <v>34863478.084494188</v>
      </c>
      <c r="Q8" s="70">
        <f ca="1">IF(OR(A8&gt;入力設定!$B$6*12,P8+AC8&lt;0.000001),0,IF(P8&lt;0.000001,Q7,IF(AE8=1,IF(C8=0,P8/MAX(1,入力設定!$B$6*12-A8+1),P8*(C8/12)/(1-(1+C8/12)^(-MAX(1,入力設定!$B$6*12-A8+1)))),Q7)))</f>
        <v>100604.4016546396</v>
      </c>
      <c r="R8" s="70">
        <f ca="1">IF(P8+AC8&lt;0.000001,0,IF(A8=入力設定!$B$6*12,P8+AB8+AC8,MIN(Q8,P8+AB8+AC8)))</f>
        <v>100604.4016546396</v>
      </c>
      <c r="S8" s="70">
        <f t="shared" ca="1" si="6"/>
        <v>32248.717228157126</v>
      </c>
      <c r="T8" s="70">
        <f t="shared" ca="1" si="7"/>
        <v>68355.684426482476</v>
      </c>
      <c r="U8" s="70">
        <f t="shared" ca="1" si="8"/>
        <v>34795122.400067709</v>
      </c>
      <c r="V8" s="70">
        <f t="shared" ca="1" si="9"/>
        <v>0</v>
      </c>
      <c r="W8" s="70">
        <f t="shared" ca="1" si="10"/>
        <v>0</v>
      </c>
      <c r="X8" s="70">
        <f t="shared" ca="1" si="11"/>
        <v>0</v>
      </c>
      <c r="Y8" s="71">
        <f t="shared" ca="1" si="12"/>
        <v>32248.717228157126</v>
      </c>
      <c r="Z8" s="71">
        <f t="shared" ca="1" si="20"/>
        <v>0</v>
      </c>
      <c r="AA8" s="71">
        <f t="shared" ca="1" si="13"/>
        <v>0</v>
      </c>
      <c r="AB8" s="71">
        <f t="shared" ca="1" si="14"/>
        <v>32248.717228157126</v>
      </c>
      <c r="AC8" s="71">
        <f t="shared" ca="1" si="21"/>
        <v>0</v>
      </c>
      <c r="AD8" s="71">
        <f t="shared" ca="1" si="15"/>
        <v>0</v>
      </c>
      <c r="AE8" s="72">
        <f t="shared" si="16"/>
        <v>0</v>
      </c>
      <c r="AF8" s="73">
        <f>IF(A8&gt;入力設定!$B$6*12,0,IF(AND(ISNUMBER(C8),C8&gt;=0,C8&lt;=1),0,1))</f>
        <v>0</v>
      </c>
    </row>
    <row r="9" spans="1:32" ht="21" customHeight="1">
      <c r="A9" s="68">
        <f>4</f>
        <v>4</v>
      </c>
      <c r="B9" s="69">
        <f>EDATE(入力設定!$B$7,A9-1)</f>
        <v>46419</v>
      </c>
      <c r="C9" s="80">
        <f>INDEX(入力設定!$C$15:$C$24,INT((A9-1)/60)+1)</f>
        <v>1.11E-2</v>
      </c>
      <c r="D9" s="70">
        <f t="shared" ca="1" si="17"/>
        <v>34795122.400067709</v>
      </c>
      <c r="E9" s="70">
        <f t="shared" ca="1" si="18"/>
        <v>417</v>
      </c>
      <c r="F9" s="70">
        <f ca="1">IF(D9+Z9&lt;0.000001,0,IF(D9&lt;0.000001,F8,IF(OR(AE9=1,AND(K8&gt;0,入力設定!$B$8="返済額軽減型",入力設定!$B$11="翌月")),IF(C9=0,D9/MAX(1,E9),D9*(C9/12)/(1-(1+C9/12)^(-MAX(1,E9)))),F8)))</f>
        <v>100604.4016546396</v>
      </c>
      <c r="G9" s="70">
        <f t="shared" ca="1" si="0"/>
        <v>100604.4016546396</v>
      </c>
      <c r="H9" s="70">
        <f t="shared" ca="1" si="1"/>
        <v>32185.488220062631</v>
      </c>
      <c r="I9" s="70">
        <f t="shared" ca="1" si="2"/>
        <v>68418.913434576971</v>
      </c>
      <c r="J9" s="70">
        <f>SUMIFS(入力設定!$G$5:$G$24,入力設定!$F$5:$F$24,A9)</f>
        <v>0</v>
      </c>
      <c r="K9" s="70">
        <f t="shared" ca="1" si="3"/>
        <v>0</v>
      </c>
      <c r="L9" s="70">
        <f ca="1">IF(K9&gt;0,入力設定!$B$9,0)</f>
        <v>0</v>
      </c>
      <c r="M9" s="70">
        <f t="shared" ca="1" si="4"/>
        <v>34726703.486633129</v>
      </c>
      <c r="N9" s="70">
        <f ca="1">IF(M9+AA9&lt;0.000001,0,IF(AND(K9&gt;0,入力設定!$B$8="期間短縮型",AA9&lt;0.000001,F9&gt;M9*C9/12),MAX(1,MIN(E9-1,IF(C9=0,ROUNDUP(M9/F9,0),ROUNDUP(-LN(1-M9*(C9/12)/F9)/LN(1+C9/12),0)))),MAX(1,E9-1)))</f>
        <v>416</v>
      </c>
      <c r="O9" s="70">
        <f t="shared" ca="1" si="5"/>
        <v>100604.4016546396</v>
      </c>
      <c r="P9" s="70">
        <f t="shared" ca="1" si="19"/>
        <v>34795122.400067709</v>
      </c>
      <c r="Q9" s="70">
        <f ca="1">IF(OR(A9&gt;入力設定!$B$6*12,P9+AC9&lt;0.000001),0,IF(P9&lt;0.000001,Q8,IF(AE9=1,IF(C9=0,P9/MAX(1,入力設定!$B$6*12-A9+1),P9*(C9/12)/(1-(1+C9/12)^(-MAX(1,入力設定!$B$6*12-A9+1)))),Q8)))</f>
        <v>100604.4016546396</v>
      </c>
      <c r="R9" s="70">
        <f ca="1">IF(P9+AC9&lt;0.000001,0,IF(A9=入力設定!$B$6*12,P9+AB9+AC9,MIN(Q9,P9+AB9+AC9)))</f>
        <v>100604.4016546396</v>
      </c>
      <c r="S9" s="70">
        <f t="shared" ca="1" si="6"/>
        <v>32185.488220062631</v>
      </c>
      <c r="T9" s="70">
        <f t="shared" ca="1" si="7"/>
        <v>68418.913434576971</v>
      </c>
      <c r="U9" s="70">
        <f t="shared" ca="1" si="8"/>
        <v>34726703.486633129</v>
      </c>
      <c r="V9" s="70">
        <f t="shared" ca="1" si="9"/>
        <v>0</v>
      </c>
      <c r="W9" s="70">
        <f t="shared" ca="1" si="10"/>
        <v>0</v>
      </c>
      <c r="X9" s="70">
        <f t="shared" ca="1" si="11"/>
        <v>0</v>
      </c>
      <c r="Y9" s="71">
        <f t="shared" ca="1" si="12"/>
        <v>32185.488220062631</v>
      </c>
      <c r="Z9" s="71">
        <f t="shared" ca="1" si="20"/>
        <v>0</v>
      </c>
      <c r="AA9" s="71">
        <f t="shared" ca="1" si="13"/>
        <v>0</v>
      </c>
      <c r="AB9" s="71">
        <f t="shared" ca="1" si="14"/>
        <v>32185.488220062631</v>
      </c>
      <c r="AC9" s="71">
        <f t="shared" ca="1" si="21"/>
        <v>0</v>
      </c>
      <c r="AD9" s="71">
        <f t="shared" ca="1" si="15"/>
        <v>0</v>
      </c>
      <c r="AE9" s="72">
        <f t="shared" si="16"/>
        <v>0</v>
      </c>
      <c r="AF9" s="73">
        <f>IF(A9&gt;入力設定!$B$6*12,0,IF(AND(ISNUMBER(C9),C9&gt;=0,C9&lt;=1),0,1))</f>
        <v>0</v>
      </c>
    </row>
    <row r="10" spans="1:32" ht="21" customHeight="1">
      <c r="A10" s="68">
        <f>5</f>
        <v>5</v>
      </c>
      <c r="B10" s="69">
        <f>EDATE(入力設定!$B$7,A10-1)</f>
        <v>46447</v>
      </c>
      <c r="C10" s="80">
        <f>INDEX(入力設定!$C$15:$C$24,INT((A10-1)/60)+1)</f>
        <v>1.11E-2</v>
      </c>
      <c r="D10" s="70">
        <f t="shared" ca="1" si="17"/>
        <v>34726703.486633129</v>
      </c>
      <c r="E10" s="70">
        <f t="shared" ca="1" si="18"/>
        <v>416</v>
      </c>
      <c r="F10" s="70">
        <f ca="1">IF(D10+Z10&lt;0.000001,0,IF(D10&lt;0.000001,F9,IF(OR(AE10=1,AND(K9&gt;0,入力設定!$B$8="返済額軽減型",入力設定!$B$11="翌月")),IF(C10=0,D10/MAX(1,E10),D10*(C10/12)/(1-(1+C10/12)^(-MAX(1,E10)))),F9)))</f>
        <v>100604.4016546396</v>
      </c>
      <c r="G10" s="70">
        <f t="shared" ca="1" si="0"/>
        <v>100604.4016546396</v>
      </c>
      <c r="H10" s="70">
        <f t="shared" ca="1" si="1"/>
        <v>32122.200725135644</v>
      </c>
      <c r="I10" s="70">
        <f t="shared" ca="1" si="2"/>
        <v>68482.200929503961</v>
      </c>
      <c r="J10" s="70">
        <f>SUMIFS(入力設定!$G$5:$G$24,入力設定!$F$5:$F$24,A10)</f>
        <v>0</v>
      </c>
      <c r="K10" s="70">
        <f t="shared" ca="1" si="3"/>
        <v>0</v>
      </c>
      <c r="L10" s="70">
        <f ca="1">IF(K10&gt;0,入力設定!$B$9,0)</f>
        <v>0</v>
      </c>
      <c r="M10" s="70">
        <f t="shared" ca="1" si="4"/>
        <v>34658221.285703622</v>
      </c>
      <c r="N10" s="70">
        <f ca="1">IF(M10+AA10&lt;0.000001,0,IF(AND(K10&gt;0,入力設定!$B$8="期間短縮型",AA10&lt;0.000001,F10&gt;M10*C10/12),MAX(1,MIN(E10-1,IF(C10=0,ROUNDUP(M10/F10,0),ROUNDUP(-LN(1-M10*(C10/12)/F10)/LN(1+C10/12),0)))),MAX(1,E10-1)))</f>
        <v>415</v>
      </c>
      <c r="O10" s="70">
        <f t="shared" ca="1" si="5"/>
        <v>100604.4016546396</v>
      </c>
      <c r="P10" s="70">
        <f t="shared" ca="1" si="19"/>
        <v>34726703.486633129</v>
      </c>
      <c r="Q10" s="70">
        <f ca="1">IF(OR(A10&gt;入力設定!$B$6*12,P10+AC10&lt;0.000001),0,IF(P10&lt;0.000001,Q9,IF(AE10=1,IF(C10=0,P10/MAX(1,入力設定!$B$6*12-A10+1),P10*(C10/12)/(1-(1+C10/12)^(-MAX(1,入力設定!$B$6*12-A10+1)))),Q9)))</f>
        <v>100604.4016546396</v>
      </c>
      <c r="R10" s="70">
        <f ca="1">IF(P10+AC10&lt;0.000001,0,IF(A10=入力設定!$B$6*12,P10+AB10+AC10,MIN(Q10,P10+AB10+AC10)))</f>
        <v>100604.4016546396</v>
      </c>
      <c r="S10" s="70">
        <f t="shared" ca="1" si="6"/>
        <v>32122.200725135644</v>
      </c>
      <c r="T10" s="70">
        <f t="shared" ca="1" si="7"/>
        <v>68482.200929503961</v>
      </c>
      <c r="U10" s="70">
        <f t="shared" ca="1" si="8"/>
        <v>34658221.285703622</v>
      </c>
      <c r="V10" s="70">
        <f t="shared" ca="1" si="9"/>
        <v>0</v>
      </c>
      <c r="W10" s="70">
        <f t="shared" ca="1" si="10"/>
        <v>0</v>
      </c>
      <c r="X10" s="70">
        <f t="shared" ca="1" si="11"/>
        <v>0</v>
      </c>
      <c r="Y10" s="71">
        <f t="shared" ca="1" si="12"/>
        <v>32122.200725135644</v>
      </c>
      <c r="Z10" s="71">
        <f t="shared" ca="1" si="20"/>
        <v>0</v>
      </c>
      <c r="AA10" s="71">
        <f t="shared" ca="1" si="13"/>
        <v>0</v>
      </c>
      <c r="AB10" s="71">
        <f t="shared" ca="1" si="14"/>
        <v>32122.200725135644</v>
      </c>
      <c r="AC10" s="71">
        <f t="shared" ca="1" si="21"/>
        <v>0</v>
      </c>
      <c r="AD10" s="71">
        <f t="shared" ca="1" si="15"/>
        <v>0</v>
      </c>
      <c r="AE10" s="72">
        <f t="shared" si="16"/>
        <v>0</v>
      </c>
      <c r="AF10" s="73">
        <f>IF(A10&gt;入力設定!$B$6*12,0,IF(AND(ISNUMBER(C10),C10&gt;=0,C10&lt;=1),0,1))</f>
        <v>0</v>
      </c>
    </row>
    <row r="11" spans="1:32" ht="21" customHeight="1">
      <c r="A11" s="68">
        <f>6</f>
        <v>6</v>
      </c>
      <c r="B11" s="69">
        <f>EDATE(入力設定!$B$7,A11-1)</f>
        <v>46478</v>
      </c>
      <c r="C11" s="80">
        <f>INDEX(入力設定!$C$15:$C$24,INT((A11-1)/60)+1)</f>
        <v>1.11E-2</v>
      </c>
      <c r="D11" s="70">
        <f t="shared" ca="1" si="17"/>
        <v>34658221.285703622</v>
      </c>
      <c r="E11" s="70">
        <f t="shared" ca="1" si="18"/>
        <v>415</v>
      </c>
      <c r="F11" s="70">
        <f ca="1">IF(D11+Z11&lt;0.000001,0,IF(D11&lt;0.000001,F10,IF(OR(AE11=1,AND(K10&gt;0,入力設定!$B$8="返済額軽減型",入力設定!$B$11="翌月")),IF(C11=0,D11/MAX(1,E11),D11*(C11/12)/(1-(1+C11/12)^(-MAX(1,E11)))),F10)))</f>
        <v>100604.4016546396</v>
      </c>
      <c r="G11" s="70">
        <f t="shared" ca="1" si="0"/>
        <v>100604.4016546396</v>
      </c>
      <c r="H11" s="70">
        <f t="shared" ca="1" si="1"/>
        <v>32058.85468927585</v>
      </c>
      <c r="I11" s="70">
        <f t="shared" ca="1" si="2"/>
        <v>68545.546965363756</v>
      </c>
      <c r="J11" s="70">
        <f>SUMIFS(入力設定!$G$5:$G$24,入力設定!$F$5:$F$24,A11)</f>
        <v>0</v>
      </c>
      <c r="K11" s="70">
        <f t="shared" ca="1" si="3"/>
        <v>0</v>
      </c>
      <c r="L11" s="70">
        <f ca="1">IF(K11&gt;0,入力設定!$B$9,0)</f>
        <v>0</v>
      </c>
      <c r="M11" s="70">
        <f t="shared" ca="1" si="4"/>
        <v>34589675.738738261</v>
      </c>
      <c r="N11" s="70">
        <f ca="1">IF(M11+AA11&lt;0.000001,0,IF(AND(K11&gt;0,入力設定!$B$8="期間短縮型",AA11&lt;0.000001,F11&gt;M11*C11/12),MAX(1,MIN(E11-1,IF(C11=0,ROUNDUP(M11/F11,0),ROUNDUP(-LN(1-M11*(C11/12)/F11)/LN(1+C11/12),0)))),MAX(1,E11-1)))</f>
        <v>414</v>
      </c>
      <c r="O11" s="70">
        <f t="shared" ca="1" si="5"/>
        <v>100604.4016546396</v>
      </c>
      <c r="P11" s="70">
        <f t="shared" ca="1" si="19"/>
        <v>34658221.285703622</v>
      </c>
      <c r="Q11" s="70">
        <f ca="1">IF(OR(A11&gt;入力設定!$B$6*12,P11+AC11&lt;0.000001),0,IF(P11&lt;0.000001,Q10,IF(AE11=1,IF(C11=0,P11/MAX(1,入力設定!$B$6*12-A11+1),P11*(C11/12)/(1-(1+C11/12)^(-MAX(1,入力設定!$B$6*12-A11+1)))),Q10)))</f>
        <v>100604.4016546396</v>
      </c>
      <c r="R11" s="70">
        <f ca="1">IF(P11+AC11&lt;0.000001,0,IF(A11=入力設定!$B$6*12,P11+AB11+AC11,MIN(Q11,P11+AB11+AC11)))</f>
        <v>100604.4016546396</v>
      </c>
      <c r="S11" s="70">
        <f t="shared" ca="1" si="6"/>
        <v>32058.85468927585</v>
      </c>
      <c r="T11" s="70">
        <f t="shared" ca="1" si="7"/>
        <v>68545.546965363756</v>
      </c>
      <c r="U11" s="70">
        <f t="shared" ca="1" si="8"/>
        <v>34589675.738738261</v>
      </c>
      <c r="V11" s="70">
        <f t="shared" ca="1" si="9"/>
        <v>0</v>
      </c>
      <c r="W11" s="70">
        <f t="shared" ca="1" si="10"/>
        <v>0</v>
      </c>
      <c r="X11" s="70">
        <f t="shared" ca="1" si="11"/>
        <v>0</v>
      </c>
      <c r="Y11" s="71">
        <f t="shared" ca="1" si="12"/>
        <v>32058.85468927585</v>
      </c>
      <c r="Z11" s="71">
        <f t="shared" ca="1" si="20"/>
        <v>0</v>
      </c>
      <c r="AA11" s="71">
        <f t="shared" ca="1" si="13"/>
        <v>0</v>
      </c>
      <c r="AB11" s="71">
        <f t="shared" ca="1" si="14"/>
        <v>32058.85468927585</v>
      </c>
      <c r="AC11" s="71">
        <f t="shared" ca="1" si="21"/>
        <v>0</v>
      </c>
      <c r="AD11" s="71">
        <f t="shared" ca="1" si="15"/>
        <v>0</v>
      </c>
      <c r="AE11" s="72">
        <f t="shared" si="16"/>
        <v>0</v>
      </c>
      <c r="AF11" s="73">
        <f>IF(A11&gt;入力設定!$B$6*12,0,IF(AND(ISNUMBER(C11),C11&gt;=0,C11&lt;=1),0,1))</f>
        <v>0</v>
      </c>
    </row>
    <row r="12" spans="1:32" ht="21" customHeight="1">
      <c r="A12" s="68">
        <f>7</f>
        <v>7</v>
      </c>
      <c r="B12" s="69">
        <f>EDATE(入力設定!$B$7,A12-1)</f>
        <v>46508</v>
      </c>
      <c r="C12" s="80">
        <f>INDEX(入力設定!$C$15:$C$24,INT((A12-1)/60)+1)</f>
        <v>1.11E-2</v>
      </c>
      <c r="D12" s="70">
        <f t="shared" ca="1" si="17"/>
        <v>34589675.738738261</v>
      </c>
      <c r="E12" s="70">
        <f t="shared" ca="1" si="18"/>
        <v>414</v>
      </c>
      <c r="F12" s="70">
        <f ca="1">IF(D12+Z12&lt;0.000001,0,IF(D12&lt;0.000001,F11,IF(OR(AE12=1,AND(K11&gt;0,入力設定!$B$8="返済額軽減型",入力設定!$B$11="翌月")),IF(C12=0,D12/MAX(1,E12),D12*(C12/12)/(1-(1+C12/12)^(-MAX(1,E12)))),F11)))</f>
        <v>100604.4016546396</v>
      </c>
      <c r="G12" s="70">
        <f t="shared" ca="1" si="0"/>
        <v>100604.4016546396</v>
      </c>
      <c r="H12" s="70">
        <f t="shared" ca="1" si="1"/>
        <v>31995.450058332892</v>
      </c>
      <c r="I12" s="70">
        <f t="shared" ca="1" si="2"/>
        <v>68608.95159630671</v>
      </c>
      <c r="J12" s="70">
        <f>SUMIFS(入力設定!$G$5:$G$24,入力設定!$F$5:$F$24,A12)</f>
        <v>0</v>
      </c>
      <c r="K12" s="70">
        <f t="shared" ca="1" si="3"/>
        <v>0</v>
      </c>
      <c r="L12" s="70">
        <f ca="1">IF(K12&gt;0,入力設定!$B$9,0)</f>
        <v>0</v>
      </c>
      <c r="M12" s="70">
        <f t="shared" ca="1" si="4"/>
        <v>34521066.787141956</v>
      </c>
      <c r="N12" s="70">
        <f ca="1">IF(M12+AA12&lt;0.000001,0,IF(AND(K12&gt;0,入力設定!$B$8="期間短縮型",AA12&lt;0.000001,F12&gt;M12*C12/12),MAX(1,MIN(E12-1,IF(C12=0,ROUNDUP(M12/F12,0),ROUNDUP(-LN(1-M12*(C12/12)/F12)/LN(1+C12/12),0)))),MAX(1,E12-1)))</f>
        <v>413</v>
      </c>
      <c r="O12" s="70">
        <f t="shared" ca="1" si="5"/>
        <v>100604.4016546396</v>
      </c>
      <c r="P12" s="70">
        <f t="shared" ca="1" si="19"/>
        <v>34589675.738738261</v>
      </c>
      <c r="Q12" s="70">
        <f ca="1">IF(OR(A12&gt;入力設定!$B$6*12,P12+AC12&lt;0.000001),0,IF(P12&lt;0.000001,Q11,IF(AE12=1,IF(C12=0,P12/MAX(1,入力設定!$B$6*12-A12+1),P12*(C12/12)/(1-(1+C12/12)^(-MAX(1,入力設定!$B$6*12-A12+1)))),Q11)))</f>
        <v>100604.4016546396</v>
      </c>
      <c r="R12" s="70">
        <f ca="1">IF(P12+AC12&lt;0.000001,0,IF(A12=入力設定!$B$6*12,P12+AB12+AC12,MIN(Q12,P12+AB12+AC12)))</f>
        <v>100604.4016546396</v>
      </c>
      <c r="S12" s="70">
        <f t="shared" ca="1" si="6"/>
        <v>31995.450058332892</v>
      </c>
      <c r="T12" s="70">
        <f t="shared" ca="1" si="7"/>
        <v>68608.95159630671</v>
      </c>
      <c r="U12" s="70">
        <f t="shared" ca="1" si="8"/>
        <v>34521066.787141956</v>
      </c>
      <c r="V12" s="70">
        <f t="shared" ca="1" si="9"/>
        <v>0</v>
      </c>
      <c r="W12" s="70">
        <f t="shared" ca="1" si="10"/>
        <v>0</v>
      </c>
      <c r="X12" s="70">
        <f t="shared" ca="1" si="11"/>
        <v>0</v>
      </c>
      <c r="Y12" s="71">
        <f t="shared" ca="1" si="12"/>
        <v>31995.450058332892</v>
      </c>
      <c r="Z12" s="71">
        <f t="shared" ca="1" si="20"/>
        <v>0</v>
      </c>
      <c r="AA12" s="71">
        <f t="shared" ca="1" si="13"/>
        <v>0</v>
      </c>
      <c r="AB12" s="71">
        <f t="shared" ca="1" si="14"/>
        <v>31995.450058332892</v>
      </c>
      <c r="AC12" s="71">
        <f t="shared" ca="1" si="21"/>
        <v>0</v>
      </c>
      <c r="AD12" s="71">
        <f t="shared" ca="1" si="15"/>
        <v>0</v>
      </c>
      <c r="AE12" s="72">
        <f t="shared" si="16"/>
        <v>0</v>
      </c>
      <c r="AF12" s="73">
        <f>IF(A12&gt;入力設定!$B$6*12,0,IF(AND(ISNUMBER(C12),C12&gt;=0,C12&lt;=1),0,1))</f>
        <v>0</v>
      </c>
    </row>
    <row r="13" spans="1:32" ht="21" customHeight="1">
      <c r="A13" s="68">
        <f>8</f>
        <v>8</v>
      </c>
      <c r="B13" s="69">
        <f>EDATE(入力設定!$B$7,A13-1)</f>
        <v>46539</v>
      </c>
      <c r="C13" s="80">
        <f>INDEX(入力設定!$C$15:$C$24,INT((A13-1)/60)+1)</f>
        <v>1.11E-2</v>
      </c>
      <c r="D13" s="70">
        <f t="shared" ca="1" si="17"/>
        <v>34521066.787141956</v>
      </c>
      <c r="E13" s="70">
        <f t="shared" ca="1" si="18"/>
        <v>413</v>
      </c>
      <c r="F13" s="70">
        <f ca="1">IF(D13+Z13&lt;0.000001,0,IF(D13&lt;0.000001,F12,IF(OR(AE13=1,AND(K12&gt;0,入力設定!$B$8="返済額軽減型",入力設定!$B$11="翌月")),IF(C13=0,D13/MAX(1,E13),D13*(C13/12)/(1-(1+C13/12)^(-MAX(1,E13)))),F12)))</f>
        <v>100604.4016546396</v>
      </c>
      <c r="G13" s="70">
        <f t="shared" ca="1" si="0"/>
        <v>100604.4016546396</v>
      </c>
      <c r="H13" s="70">
        <f t="shared" ca="1" si="1"/>
        <v>31931.986778106311</v>
      </c>
      <c r="I13" s="70">
        <f t="shared" ca="1" si="2"/>
        <v>68672.414876533294</v>
      </c>
      <c r="J13" s="70">
        <f>SUMIFS(入力設定!$G$5:$G$24,入力設定!$F$5:$F$24,A13)</f>
        <v>0</v>
      </c>
      <c r="K13" s="70">
        <f t="shared" ca="1" si="3"/>
        <v>0</v>
      </c>
      <c r="L13" s="70">
        <f ca="1">IF(K13&gt;0,入力設定!$B$9,0)</f>
        <v>0</v>
      </c>
      <c r="M13" s="70">
        <f t="shared" ca="1" si="4"/>
        <v>34452394.372265421</v>
      </c>
      <c r="N13" s="70">
        <f ca="1">IF(M13+AA13&lt;0.000001,0,IF(AND(K13&gt;0,入力設定!$B$8="期間短縮型",AA13&lt;0.000001,F13&gt;M13*C13/12),MAX(1,MIN(E13-1,IF(C13=0,ROUNDUP(M13/F13,0),ROUNDUP(-LN(1-M13*(C13/12)/F13)/LN(1+C13/12),0)))),MAX(1,E13-1)))</f>
        <v>412</v>
      </c>
      <c r="O13" s="70">
        <f t="shared" ca="1" si="5"/>
        <v>100604.4016546396</v>
      </c>
      <c r="P13" s="70">
        <f t="shared" ca="1" si="19"/>
        <v>34521066.787141956</v>
      </c>
      <c r="Q13" s="70">
        <f ca="1">IF(OR(A13&gt;入力設定!$B$6*12,P13+AC13&lt;0.000001),0,IF(P13&lt;0.000001,Q12,IF(AE13=1,IF(C13=0,P13/MAX(1,入力設定!$B$6*12-A13+1),P13*(C13/12)/(1-(1+C13/12)^(-MAX(1,入力設定!$B$6*12-A13+1)))),Q12)))</f>
        <v>100604.4016546396</v>
      </c>
      <c r="R13" s="70">
        <f ca="1">IF(P13+AC13&lt;0.000001,0,IF(A13=入力設定!$B$6*12,P13+AB13+AC13,MIN(Q13,P13+AB13+AC13)))</f>
        <v>100604.4016546396</v>
      </c>
      <c r="S13" s="70">
        <f t="shared" ca="1" si="6"/>
        <v>31931.986778106311</v>
      </c>
      <c r="T13" s="70">
        <f t="shared" ca="1" si="7"/>
        <v>68672.414876533294</v>
      </c>
      <c r="U13" s="70">
        <f t="shared" ca="1" si="8"/>
        <v>34452394.372265421</v>
      </c>
      <c r="V13" s="70">
        <f t="shared" ca="1" si="9"/>
        <v>0</v>
      </c>
      <c r="W13" s="70">
        <f t="shared" ca="1" si="10"/>
        <v>0</v>
      </c>
      <c r="X13" s="70">
        <f t="shared" ca="1" si="11"/>
        <v>0</v>
      </c>
      <c r="Y13" s="71">
        <f t="shared" ca="1" si="12"/>
        <v>31931.986778106311</v>
      </c>
      <c r="Z13" s="71">
        <f t="shared" ca="1" si="20"/>
        <v>0</v>
      </c>
      <c r="AA13" s="71">
        <f t="shared" ca="1" si="13"/>
        <v>0</v>
      </c>
      <c r="AB13" s="71">
        <f t="shared" ca="1" si="14"/>
        <v>31931.986778106311</v>
      </c>
      <c r="AC13" s="71">
        <f t="shared" ca="1" si="21"/>
        <v>0</v>
      </c>
      <c r="AD13" s="71">
        <f t="shared" ca="1" si="15"/>
        <v>0</v>
      </c>
      <c r="AE13" s="72">
        <f t="shared" si="16"/>
        <v>0</v>
      </c>
      <c r="AF13" s="73">
        <f>IF(A13&gt;入力設定!$B$6*12,0,IF(AND(ISNUMBER(C13),C13&gt;=0,C13&lt;=1),0,1))</f>
        <v>0</v>
      </c>
    </row>
    <row r="14" spans="1:32" ht="21" customHeight="1">
      <c r="A14" s="68">
        <f>9</f>
        <v>9</v>
      </c>
      <c r="B14" s="69">
        <f>EDATE(入力設定!$B$7,A14-1)</f>
        <v>46569</v>
      </c>
      <c r="C14" s="80">
        <f>INDEX(入力設定!$C$15:$C$24,INT((A14-1)/60)+1)</f>
        <v>1.11E-2</v>
      </c>
      <c r="D14" s="70">
        <f t="shared" ca="1" si="17"/>
        <v>34452394.372265421</v>
      </c>
      <c r="E14" s="70">
        <f t="shared" ca="1" si="18"/>
        <v>412</v>
      </c>
      <c r="F14" s="70">
        <f ca="1">IF(D14+Z14&lt;0.000001,0,IF(D14&lt;0.000001,F13,IF(OR(AE14=1,AND(K13&gt;0,入力設定!$B$8="返済額軽減型",入力設定!$B$11="翌月")),IF(C14=0,D14/MAX(1,E14),D14*(C14/12)/(1-(1+C14/12)^(-MAX(1,E14)))),F13)))</f>
        <v>100604.4016546396</v>
      </c>
      <c r="G14" s="70">
        <f t="shared" ca="1" si="0"/>
        <v>100604.4016546396</v>
      </c>
      <c r="H14" s="70">
        <f t="shared" ca="1" si="1"/>
        <v>31868.464794345517</v>
      </c>
      <c r="I14" s="70">
        <f t="shared" ca="1" si="2"/>
        <v>68735.936860294081</v>
      </c>
      <c r="J14" s="70">
        <f>SUMIFS(入力設定!$G$5:$G$24,入力設定!$F$5:$F$24,A14)</f>
        <v>0</v>
      </c>
      <c r="K14" s="70">
        <f t="shared" ca="1" si="3"/>
        <v>0</v>
      </c>
      <c r="L14" s="70">
        <f ca="1">IF(K14&gt;0,入力設定!$B$9,0)</f>
        <v>0</v>
      </c>
      <c r="M14" s="70">
        <f t="shared" ca="1" si="4"/>
        <v>34383658.435405128</v>
      </c>
      <c r="N14" s="70">
        <f ca="1">IF(M14+AA14&lt;0.000001,0,IF(AND(K14&gt;0,入力設定!$B$8="期間短縮型",AA14&lt;0.000001,F14&gt;M14*C14/12),MAX(1,MIN(E14-1,IF(C14=0,ROUNDUP(M14/F14,0),ROUNDUP(-LN(1-M14*(C14/12)/F14)/LN(1+C14/12),0)))),MAX(1,E14-1)))</f>
        <v>411</v>
      </c>
      <c r="O14" s="70">
        <f t="shared" ca="1" si="5"/>
        <v>100604.4016546396</v>
      </c>
      <c r="P14" s="70">
        <f t="shared" ca="1" si="19"/>
        <v>34452394.372265421</v>
      </c>
      <c r="Q14" s="70">
        <f ca="1">IF(OR(A14&gt;入力設定!$B$6*12,P14+AC14&lt;0.000001),0,IF(P14&lt;0.000001,Q13,IF(AE14=1,IF(C14=0,P14/MAX(1,入力設定!$B$6*12-A14+1),P14*(C14/12)/(1-(1+C14/12)^(-MAX(1,入力設定!$B$6*12-A14+1)))),Q13)))</f>
        <v>100604.4016546396</v>
      </c>
      <c r="R14" s="70">
        <f ca="1">IF(P14+AC14&lt;0.000001,0,IF(A14=入力設定!$B$6*12,P14+AB14+AC14,MIN(Q14,P14+AB14+AC14)))</f>
        <v>100604.4016546396</v>
      </c>
      <c r="S14" s="70">
        <f t="shared" ca="1" si="6"/>
        <v>31868.464794345517</v>
      </c>
      <c r="T14" s="70">
        <f t="shared" ca="1" si="7"/>
        <v>68735.936860294081</v>
      </c>
      <c r="U14" s="70">
        <f t="shared" ca="1" si="8"/>
        <v>34383658.435405128</v>
      </c>
      <c r="V14" s="70">
        <f t="shared" ca="1" si="9"/>
        <v>0</v>
      </c>
      <c r="W14" s="70">
        <f t="shared" ca="1" si="10"/>
        <v>0</v>
      </c>
      <c r="X14" s="70">
        <f t="shared" ca="1" si="11"/>
        <v>0</v>
      </c>
      <c r="Y14" s="71">
        <f t="shared" ca="1" si="12"/>
        <v>31868.464794345517</v>
      </c>
      <c r="Z14" s="71">
        <f t="shared" ca="1" si="20"/>
        <v>0</v>
      </c>
      <c r="AA14" s="71">
        <f t="shared" ca="1" si="13"/>
        <v>0</v>
      </c>
      <c r="AB14" s="71">
        <f t="shared" ca="1" si="14"/>
        <v>31868.464794345517</v>
      </c>
      <c r="AC14" s="71">
        <f t="shared" ca="1" si="21"/>
        <v>0</v>
      </c>
      <c r="AD14" s="71">
        <f t="shared" ca="1" si="15"/>
        <v>0</v>
      </c>
      <c r="AE14" s="72">
        <f t="shared" si="16"/>
        <v>0</v>
      </c>
      <c r="AF14" s="73">
        <f>IF(A14&gt;入力設定!$B$6*12,0,IF(AND(ISNUMBER(C14),C14&gt;=0,C14&lt;=1),0,1))</f>
        <v>0</v>
      </c>
    </row>
    <row r="15" spans="1:32" ht="21" customHeight="1">
      <c r="A15" s="68">
        <f>10</f>
        <v>10</v>
      </c>
      <c r="B15" s="69">
        <f>EDATE(入力設定!$B$7,A15-1)</f>
        <v>46600</v>
      </c>
      <c r="C15" s="80">
        <f>INDEX(入力設定!$C$15:$C$24,INT((A15-1)/60)+1)</f>
        <v>1.11E-2</v>
      </c>
      <c r="D15" s="70">
        <f t="shared" ca="1" si="17"/>
        <v>34383658.435405128</v>
      </c>
      <c r="E15" s="70">
        <f t="shared" ca="1" si="18"/>
        <v>411</v>
      </c>
      <c r="F15" s="70">
        <f ca="1">IF(D15+Z15&lt;0.000001,0,IF(D15&lt;0.000001,F14,IF(OR(AE15=1,AND(K14&gt;0,入力設定!$B$8="返済額軽減型",入力設定!$B$11="翌月")),IF(C15=0,D15/MAX(1,E15),D15*(C15/12)/(1-(1+C15/12)^(-MAX(1,E15)))),F14)))</f>
        <v>100604.4016546396</v>
      </c>
      <c r="G15" s="70">
        <f t="shared" ca="1" si="0"/>
        <v>100604.4016546396</v>
      </c>
      <c r="H15" s="70">
        <f t="shared" ca="1" si="1"/>
        <v>31804.884052749741</v>
      </c>
      <c r="I15" s="70">
        <f t="shared" ca="1" si="2"/>
        <v>68799.517601889864</v>
      </c>
      <c r="J15" s="70">
        <f>SUMIFS(入力設定!$G$5:$G$24,入力設定!$F$5:$F$24,A15)</f>
        <v>0</v>
      </c>
      <c r="K15" s="70">
        <f t="shared" ca="1" si="3"/>
        <v>0</v>
      </c>
      <c r="L15" s="70">
        <f ca="1">IF(K15&gt;0,入力設定!$B$9,0)</f>
        <v>0</v>
      </c>
      <c r="M15" s="70">
        <f t="shared" ca="1" si="4"/>
        <v>34314858.917803235</v>
      </c>
      <c r="N15" s="70">
        <f ca="1">IF(M15+AA15&lt;0.000001,0,IF(AND(K15&gt;0,入力設定!$B$8="期間短縮型",AA15&lt;0.000001,F15&gt;M15*C15/12),MAX(1,MIN(E15-1,IF(C15=0,ROUNDUP(M15/F15,0),ROUNDUP(-LN(1-M15*(C15/12)/F15)/LN(1+C15/12),0)))),MAX(1,E15-1)))</f>
        <v>410</v>
      </c>
      <c r="O15" s="70">
        <f t="shared" ca="1" si="5"/>
        <v>100604.4016546396</v>
      </c>
      <c r="P15" s="70">
        <f t="shared" ca="1" si="19"/>
        <v>34383658.435405128</v>
      </c>
      <c r="Q15" s="70">
        <f ca="1">IF(OR(A15&gt;入力設定!$B$6*12,P15+AC15&lt;0.000001),0,IF(P15&lt;0.000001,Q14,IF(AE15=1,IF(C15=0,P15/MAX(1,入力設定!$B$6*12-A15+1),P15*(C15/12)/(1-(1+C15/12)^(-MAX(1,入力設定!$B$6*12-A15+1)))),Q14)))</f>
        <v>100604.4016546396</v>
      </c>
      <c r="R15" s="70">
        <f ca="1">IF(P15+AC15&lt;0.000001,0,IF(A15=入力設定!$B$6*12,P15+AB15+AC15,MIN(Q15,P15+AB15+AC15)))</f>
        <v>100604.4016546396</v>
      </c>
      <c r="S15" s="70">
        <f t="shared" ca="1" si="6"/>
        <v>31804.884052749741</v>
      </c>
      <c r="T15" s="70">
        <f t="shared" ca="1" si="7"/>
        <v>68799.517601889864</v>
      </c>
      <c r="U15" s="70">
        <f t="shared" ca="1" si="8"/>
        <v>34314858.917803235</v>
      </c>
      <c r="V15" s="70">
        <f t="shared" ca="1" si="9"/>
        <v>0</v>
      </c>
      <c r="W15" s="70">
        <f t="shared" ca="1" si="10"/>
        <v>0</v>
      </c>
      <c r="X15" s="70">
        <f t="shared" ca="1" si="11"/>
        <v>0</v>
      </c>
      <c r="Y15" s="71">
        <f t="shared" ca="1" si="12"/>
        <v>31804.884052749741</v>
      </c>
      <c r="Z15" s="71">
        <f t="shared" ca="1" si="20"/>
        <v>0</v>
      </c>
      <c r="AA15" s="71">
        <f t="shared" ca="1" si="13"/>
        <v>0</v>
      </c>
      <c r="AB15" s="71">
        <f t="shared" ca="1" si="14"/>
        <v>31804.884052749741</v>
      </c>
      <c r="AC15" s="71">
        <f t="shared" ca="1" si="21"/>
        <v>0</v>
      </c>
      <c r="AD15" s="71">
        <f t="shared" ca="1" si="15"/>
        <v>0</v>
      </c>
      <c r="AE15" s="72">
        <f t="shared" si="16"/>
        <v>0</v>
      </c>
      <c r="AF15" s="73">
        <f>IF(A15&gt;入力設定!$B$6*12,0,IF(AND(ISNUMBER(C15),C15&gt;=0,C15&lt;=1),0,1))</f>
        <v>0</v>
      </c>
    </row>
    <row r="16" spans="1:32" ht="21" customHeight="1">
      <c r="A16" s="68">
        <f>11</f>
        <v>11</v>
      </c>
      <c r="B16" s="69">
        <f>EDATE(入力設定!$B$7,A16-1)</f>
        <v>46631</v>
      </c>
      <c r="C16" s="80">
        <f>INDEX(入力設定!$C$15:$C$24,INT((A16-1)/60)+1)</f>
        <v>1.11E-2</v>
      </c>
      <c r="D16" s="70">
        <f t="shared" ca="1" si="17"/>
        <v>34314858.917803235</v>
      </c>
      <c r="E16" s="70">
        <f t="shared" ca="1" si="18"/>
        <v>410</v>
      </c>
      <c r="F16" s="70">
        <f ca="1">IF(D16+Z16&lt;0.000001,0,IF(D16&lt;0.000001,F15,IF(OR(AE16=1,AND(K15&gt;0,入力設定!$B$8="返済額軽減型",入力設定!$B$11="翌月")),IF(C16=0,D16/MAX(1,E16),D16*(C16/12)/(1-(1+C16/12)^(-MAX(1,E16)))),F15)))</f>
        <v>100604.4016546396</v>
      </c>
      <c r="G16" s="70">
        <f t="shared" ca="1" si="0"/>
        <v>100604.4016546396</v>
      </c>
      <c r="H16" s="70">
        <f t="shared" ca="1" si="1"/>
        <v>31741.244498967993</v>
      </c>
      <c r="I16" s="70">
        <f t="shared" ca="1" si="2"/>
        <v>68863.157155671608</v>
      </c>
      <c r="J16" s="70">
        <f>SUMIFS(入力設定!$G$5:$G$24,入力設定!$F$5:$F$24,A16)</f>
        <v>0</v>
      </c>
      <c r="K16" s="70">
        <f t="shared" ca="1" si="3"/>
        <v>0</v>
      </c>
      <c r="L16" s="70">
        <f ca="1">IF(K16&gt;0,入力設定!$B$9,0)</f>
        <v>0</v>
      </c>
      <c r="M16" s="70">
        <f t="shared" ca="1" si="4"/>
        <v>34245995.760647565</v>
      </c>
      <c r="N16" s="70">
        <f ca="1">IF(M16+AA16&lt;0.000001,0,IF(AND(K16&gt;0,入力設定!$B$8="期間短縮型",AA16&lt;0.000001,F16&gt;M16*C16/12),MAX(1,MIN(E16-1,IF(C16=0,ROUNDUP(M16/F16,0),ROUNDUP(-LN(1-M16*(C16/12)/F16)/LN(1+C16/12),0)))),MAX(1,E16-1)))</f>
        <v>409</v>
      </c>
      <c r="O16" s="70">
        <f t="shared" ca="1" si="5"/>
        <v>100604.4016546396</v>
      </c>
      <c r="P16" s="70">
        <f t="shared" ca="1" si="19"/>
        <v>34314858.917803235</v>
      </c>
      <c r="Q16" s="70">
        <f ca="1">IF(OR(A16&gt;入力設定!$B$6*12,P16+AC16&lt;0.000001),0,IF(P16&lt;0.000001,Q15,IF(AE16=1,IF(C16=0,P16/MAX(1,入力設定!$B$6*12-A16+1),P16*(C16/12)/(1-(1+C16/12)^(-MAX(1,入力設定!$B$6*12-A16+1)))),Q15)))</f>
        <v>100604.4016546396</v>
      </c>
      <c r="R16" s="70">
        <f ca="1">IF(P16+AC16&lt;0.000001,0,IF(A16=入力設定!$B$6*12,P16+AB16+AC16,MIN(Q16,P16+AB16+AC16)))</f>
        <v>100604.4016546396</v>
      </c>
      <c r="S16" s="70">
        <f t="shared" ca="1" si="6"/>
        <v>31741.244498967993</v>
      </c>
      <c r="T16" s="70">
        <f t="shared" ca="1" si="7"/>
        <v>68863.157155671608</v>
      </c>
      <c r="U16" s="70">
        <f t="shared" ca="1" si="8"/>
        <v>34245995.760647565</v>
      </c>
      <c r="V16" s="70">
        <f t="shared" ca="1" si="9"/>
        <v>0</v>
      </c>
      <c r="W16" s="70">
        <f t="shared" ca="1" si="10"/>
        <v>0</v>
      </c>
      <c r="X16" s="70">
        <f t="shared" ca="1" si="11"/>
        <v>0</v>
      </c>
      <c r="Y16" s="71">
        <f t="shared" ca="1" si="12"/>
        <v>31741.244498967993</v>
      </c>
      <c r="Z16" s="71">
        <f t="shared" ca="1" si="20"/>
        <v>0</v>
      </c>
      <c r="AA16" s="71">
        <f t="shared" ca="1" si="13"/>
        <v>0</v>
      </c>
      <c r="AB16" s="71">
        <f t="shared" ca="1" si="14"/>
        <v>31741.244498967993</v>
      </c>
      <c r="AC16" s="71">
        <f t="shared" ca="1" si="21"/>
        <v>0</v>
      </c>
      <c r="AD16" s="71">
        <f t="shared" ca="1" si="15"/>
        <v>0</v>
      </c>
      <c r="AE16" s="72">
        <f t="shared" si="16"/>
        <v>0</v>
      </c>
      <c r="AF16" s="73">
        <f>IF(A16&gt;入力設定!$B$6*12,0,IF(AND(ISNUMBER(C16),C16&gt;=0,C16&lt;=1),0,1))</f>
        <v>0</v>
      </c>
    </row>
    <row r="17" spans="1:32" ht="21" customHeight="1">
      <c r="A17" s="68">
        <f>12</f>
        <v>12</v>
      </c>
      <c r="B17" s="69">
        <f>EDATE(入力設定!$B$7,A17-1)</f>
        <v>46661</v>
      </c>
      <c r="C17" s="80">
        <f>INDEX(入力設定!$C$15:$C$24,INT((A17-1)/60)+1)</f>
        <v>1.11E-2</v>
      </c>
      <c r="D17" s="70">
        <f t="shared" ca="1" si="17"/>
        <v>34245995.760647565</v>
      </c>
      <c r="E17" s="70">
        <f t="shared" ca="1" si="18"/>
        <v>409</v>
      </c>
      <c r="F17" s="70">
        <f ca="1">IF(D17+Z17&lt;0.000001,0,IF(D17&lt;0.000001,F16,IF(OR(AE17=1,AND(K16&gt;0,入力設定!$B$8="返済額軽減型",入力設定!$B$11="翌月")),IF(C17=0,D17/MAX(1,E17),D17*(C17/12)/(1-(1+C17/12)^(-MAX(1,E17)))),F16)))</f>
        <v>100604.4016546396</v>
      </c>
      <c r="G17" s="70">
        <f t="shared" ca="1" si="0"/>
        <v>100604.4016546396</v>
      </c>
      <c r="H17" s="70">
        <f t="shared" ca="1" si="1"/>
        <v>31677.546078599</v>
      </c>
      <c r="I17" s="70">
        <f t="shared" ca="1" si="2"/>
        <v>68926.855576040602</v>
      </c>
      <c r="J17" s="70">
        <f>SUMIFS(入力設定!$G$5:$G$24,入力設定!$F$5:$F$24,A17)</f>
        <v>0</v>
      </c>
      <c r="K17" s="70">
        <f t="shared" ca="1" si="3"/>
        <v>0</v>
      </c>
      <c r="L17" s="70">
        <f ca="1">IF(K17&gt;0,入力設定!$B$9,0)</f>
        <v>0</v>
      </c>
      <c r="M17" s="70">
        <f t="shared" ca="1" si="4"/>
        <v>34177068.905071527</v>
      </c>
      <c r="N17" s="70">
        <f ca="1">IF(M17+AA17&lt;0.000001,0,IF(AND(K17&gt;0,入力設定!$B$8="期間短縮型",AA17&lt;0.000001,F17&gt;M17*C17/12),MAX(1,MIN(E17-1,IF(C17=0,ROUNDUP(M17/F17,0),ROUNDUP(-LN(1-M17*(C17/12)/F17)/LN(1+C17/12),0)))),MAX(1,E17-1)))</f>
        <v>408</v>
      </c>
      <c r="O17" s="70">
        <f t="shared" ca="1" si="5"/>
        <v>100604.4016546396</v>
      </c>
      <c r="P17" s="70">
        <f t="shared" ca="1" si="19"/>
        <v>34245995.760647565</v>
      </c>
      <c r="Q17" s="70">
        <f ca="1">IF(OR(A17&gt;入力設定!$B$6*12,P17+AC17&lt;0.000001),0,IF(P17&lt;0.000001,Q16,IF(AE17=1,IF(C17=0,P17/MAX(1,入力設定!$B$6*12-A17+1),P17*(C17/12)/(1-(1+C17/12)^(-MAX(1,入力設定!$B$6*12-A17+1)))),Q16)))</f>
        <v>100604.4016546396</v>
      </c>
      <c r="R17" s="70">
        <f ca="1">IF(P17+AC17&lt;0.000001,0,IF(A17=入力設定!$B$6*12,P17+AB17+AC17,MIN(Q17,P17+AB17+AC17)))</f>
        <v>100604.4016546396</v>
      </c>
      <c r="S17" s="70">
        <f t="shared" ca="1" si="6"/>
        <v>31677.546078599</v>
      </c>
      <c r="T17" s="70">
        <f t="shared" ca="1" si="7"/>
        <v>68926.855576040602</v>
      </c>
      <c r="U17" s="70">
        <f t="shared" ca="1" si="8"/>
        <v>34177068.905071527</v>
      </c>
      <c r="V17" s="70">
        <f t="shared" ca="1" si="9"/>
        <v>0</v>
      </c>
      <c r="W17" s="70">
        <f t="shared" ca="1" si="10"/>
        <v>0</v>
      </c>
      <c r="X17" s="70">
        <f t="shared" ca="1" si="11"/>
        <v>0</v>
      </c>
      <c r="Y17" s="71">
        <f t="shared" ca="1" si="12"/>
        <v>31677.546078599</v>
      </c>
      <c r="Z17" s="71">
        <f t="shared" ca="1" si="20"/>
        <v>0</v>
      </c>
      <c r="AA17" s="71">
        <f t="shared" ca="1" si="13"/>
        <v>0</v>
      </c>
      <c r="AB17" s="71">
        <f t="shared" ca="1" si="14"/>
        <v>31677.546078599</v>
      </c>
      <c r="AC17" s="71">
        <f t="shared" ca="1" si="21"/>
        <v>0</v>
      </c>
      <c r="AD17" s="71">
        <f t="shared" ca="1" si="15"/>
        <v>0</v>
      </c>
      <c r="AE17" s="72">
        <f t="shared" si="16"/>
        <v>0</v>
      </c>
      <c r="AF17" s="73">
        <f>IF(A17&gt;入力設定!$B$6*12,0,IF(AND(ISNUMBER(C17),C17&gt;=0,C17&lt;=1),0,1))</f>
        <v>0</v>
      </c>
    </row>
    <row r="18" spans="1:32" ht="21" customHeight="1">
      <c r="A18" s="68">
        <f>13</f>
        <v>13</v>
      </c>
      <c r="B18" s="69">
        <f>EDATE(入力設定!$B$7,A18-1)</f>
        <v>46692</v>
      </c>
      <c r="C18" s="80">
        <f>INDEX(入力設定!$C$15:$C$24,INT((A18-1)/60)+1)</f>
        <v>1.11E-2</v>
      </c>
      <c r="D18" s="70">
        <f t="shared" ca="1" si="17"/>
        <v>34177068.905071527</v>
      </c>
      <c r="E18" s="70">
        <f t="shared" ca="1" si="18"/>
        <v>408</v>
      </c>
      <c r="F18" s="70">
        <f ca="1">IF(D18+Z18&lt;0.000001,0,IF(D18&lt;0.000001,F17,IF(OR(AE18=1,AND(K17&gt;0,入力設定!$B$8="返済額軽減型",入力設定!$B$11="翌月")),IF(C18=0,D18/MAX(1,E18),D18*(C18/12)/(1-(1+C18/12)^(-MAX(1,E18)))),F17)))</f>
        <v>100604.4016546396</v>
      </c>
      <c r="G18" s="70">
        <f t="shared" ca="1" si="0"/>
        <v>100604.4016546396</v>
      </c>
      <c r="H18" s="70">
        <f t="shared" ca="1" si="1"/>
        <v>31613.788737191164</v>
      </c>
      <c r="I18" s="70">
        <f t="shared" ca="1" si="2"/>
        <v>68990.612917448438</v>
      </c>
      <c r="J18" s="70">
        <f>SUMIFS(入力設定!$G$5:$G$24,入力設定!$F$5:$F$24,A18)</f>
        <v>0</v>
      </c>
      <c r="K18" s="70">
        <f t="shared" ca="1" si="3"/>
        <v>0</v>
      </c>
      <c r="L18" s="70">
        <f ca="1">IF(K18&gt;0,入力設定!$B$9,0)</f>
        <v>0</v>
      </c>
      <c r="M18" s="70">
        <f t="shared" ca="1" si="4"/>
        <v>34108078.292154081</v>
      </c>
      <c r="N18" s="70">
        <f ca="1">IF(M18+AA18&lt;0.000001,0,IF(AND(K18&gt;0,入力設定!$B$8="期間短縮型",AA18&lt;0.000001,F18&gt;M18*C18/12),MAX(1,MIN(E18-1,IF(C18=0,ROUNDUP(M18/F18,0),ROUNDUP(-LN(1-M18*(C18/12)/F18)/LN(1+C18/12),0)))),MAX(1,E18-1)))</f>
        <v>407</v>
      </c>
      <c r="O18" s="70">
        <f t="shared" ca="1" si="5"/>
        <v>100604.4016546396</v>
      </c>
      <c r="P18" s="70">
        <f t="shared" ca="1" si="19"/>
        <v>34177068.905071527</v>
      </c>
      <c r="Q18" s="70">
        <f ca="1">IF(OR(A18&gt;入力設定!$B$6*12,P18+AC18&lt;0.000001),0,IF(P18&lt;0.000001,Q17,IF(AE18=1,IF(C18=0,P18/MAX(1,入力設定!$B$6*12-A18+1),P18*(C18/12)/(1-(1+C18/12)^(-MAX(1,入力設定!$B$6*12-A18+1)))),Q17)))</f>
        <v>100604.4016546396</v>
      </c>
      <c r="R18" s="70">
        <f ca="1">IF(P18+AC18&lt;0.000001,0,IF(A18=入力設定!$B$6*12,P18+AB18+AC18,MIN(Q18,P18+AB18+AC18)))</f>
        <v>100604.4016546396</v>
      </c>
      <c r="S18" s="70">
        <f t="shared" ca="1" si="6"/>
        <v>31613.788737191164</v>
      </c>
      <c r="T18" s="70">
        <f t="shared" ca="1" si="7"/>
        <v>68990.612917448438</v>
      </c>
      <c r="U18" s="70">
        <f t="shared" ca="1" si="8"/>
        <v>34108078.292154081</v>
      </c>
      <c r="V18" s="70">
        <f t="shared" ca="1" si="9"/>
        <v>0</v>
      </c>
      <c r="W18" s="70">
        <f t="shared" ca="1" si="10"/>
        <v>0</v>
      </c>
      <c r="X18" s="70">
        <f t="shared" ca="1" si="11"/>
        <v>0</v>
      </c>
      <c r="Y18" s="71">
        <f t="shared" ca="1" si="12"/>
        <v>31613.788737191164</v>
      </c>
      <c r="Z18" s="71">
        <f t="shared" ca="1" si="20"/>
        <v>0</v>
      </c>
      <c r="AA18" s="71">
        <f t="shared" ca="1" si="13"/>
        <v>0</v>
      </c>
      <c r="AB18" s="71">
        <f t="shared" ca="1" si="14"/>
        <v>31613.788737191164</v>
      </c>
      <c r="AC18" s="71">
        <f t="shared" ca="1" si="21"/>
        <v>0</v>
      </c>
      <c r="AD18" s="71">
        <f t="shared" ca="1" si="15"/>
        <v>0</v>
      </c>
      <c r="AE18" s="72">
        <f t="shared" si="16"/>
        <v>0</v>
      </c>
      <c r="AF18" s="73">
        <f>IF(A18&gt;入力設定!$B$6*12,0,IF(AND(ISNUMBER(C18),C18&gt;=0,C18&lt;=1),0,1))</f>
        <v>0</v>
      </c>
    </row>
    <row r="19" spans="1:32" ht="21" customHeight="1">
      <c r="A19" s="68">
        <f>14</f>
        <v>14</v>
      </c>
      <c r="B19" s="69">
        <f>EDATE(入力設定!$B$7,A19-1)</f>
        <v>46722</v>
      </c>
      <c r="C19" s="80">
        <f>INDEX(入力設定!$C$15:$C$24,INT((A19-1)/60)+1)</f>
        <v>1.11E-2</v>
      </c>
      <c r="D19" s="70">
        <f t="shared" ca="1" si="17"/>
        <v>34108078.292154081</v>
      </c>
      <c r="E19" s="70">
        <f t="shared" ca="1" si="18"/>
        <v>407</v>
      </c>
      <c r="F19" s="70">
        <f ca="1">IF(D19+Z19&lt;0.000001,0,IF(D19&lt;0.000001,F18,IF(OR(AE19=1,AND(K18&gt;0,入力設定!$B$8="返済額軽減型",入力設定!$B$11="翌月")),IF(C19=0,D19/MAX(1,E19),D19*(C19/12)/(1-(1+C19/12)^(-MAX(1,E19)))),F18)))</f>
        <v>100604.4016546396</v>
      </c>
      <c r="G19" s="70">
        <f t="shared" ca="1" si="0"/>
        <v>100604.4016546396</v>
      </c>
      <c r="H19" s="70">
        <f t="shared" ca="1" si="1"/>
        <v>31549.972420242528</v>
      </c>
      <c r="I19" s="70">
        <f t="shared" ca="1" si="2"/>
        <v>69054.429234397074</v>
      </c>
      <c r="J19" s="70">
        <f>SUMIFS(入力設定!$G$5:$G$24,入力設定!$F$5:$F$24,A19)</f>
        <v>0</v>
      </c>
      <c r="K19" s="70">
        <f t="shared" ca="1" si="3"/>
        <v>0</v>
      </c>
      <c r="L19" s="70">
        <f ca="1">IF(K19&gt;0,入力設定!$B$9,0)</f>
        <v>0</v>
      </c>
      <c r="M19" s="70">
        <f t="shared" ca="1" si="4"/>
        <v>34039023.862919681</v>
      </c>
      <c r="N19" s="70">
        <f ca="1">IF(M19+AA19&lt;0.000001,0,IF(AND(K19&gt;0,入力設定!$B$8="期間短縮型",AA19&lt;0.000001,F19&gt;M19*C19/12),MAX(1,MIN(E19-1,IF(C19=0,ROUNDUP(M19/F19,0),ROUNDUP(-LN(1-M19*(C19/12)/F19)/LN(1+C19/12),0)))),MAX(1,E19-1)))</f>
        <v>406</v>
      </c>
      <c r="O19" s="70">
        <f t="shared" ca="1" si="5"/>
        <v>100604.4016546396</v>
      </c>
      <c r="P19" s="70">
        <f t="shared" ca="1" si="19"/>
        <v>34108078.292154081</v>
      </c>
      <c r="Q19" s="70">
        <f ca="1">IF(OR(A19&gt;入力設定!$B$6*12,P19+AC19&lt;0.000001),0,IF(P19&lt;0.000001,Q18,IF(AE19=1,IF(C19=0,P19/MAX(1,入力設定!$B$6*12-A19+1),P19*(C19/12)/(1-(1+C19/12)^(-MAX(1,入力設定!$B$6*12-A19+1)))),Q18)))</f>
        <v>100604.4016546396</v>
      </c>
      <c r="R19" s="70">
        <f ca="1">IF(P19+AC19&lt;0.000001,0,IF(A19=入力設定!$B$6*12,P19+AB19+AC19,MIN(Q19,P19+AB19+AC19)))</f>
        <v>100604.4016546396</v>
      </c>
      <c r="S19" s="70">
        <f t="shared" ca="1" si="6"/>
        <v>31549.972420242528</v>
      </c>
      <c r="T19" s="70">
        <f t="shared" ca="1" si="7"/>
        <v>69054.429234397074</v>
      </c>
      <c r="U19" s="70">
        <f t="shared" ca="1" si="8"/>
        <v>34039023.862919681</v>
      </c>
      <c r="V19" s="70">
        <f t="shared" ca="1" si="9"/>
        <v>0</v>
      </c>
      <c r="W19" s="70">
        <f t="shared" ca="1" si="10"/>
        <v>0</v>
      </c>
      <c r="X19" s="70">
        <f t="shared" ca="1" si="11"/>
        <v>0</v>
      </c>
      <c r="Y19" s="71">
        <f t="shared" ca="1" si="12"/>
        <v>31549.972420242528</v>
      </c>
      <c r="Z19" s="71">
        <f t="shared" ca="1" si="20"/>
        <v>0</v>
      </c>
      <c r="AA19" s="71">
        <f t="shared" ca="1" si="13"/>
        <v>0</v>
      </c>
      <c r="AB19" s="71">
        <f t="shared" ca="1" si="14"/>
        <v>31549.972420242528</v>
      </c>
      <c r="AC19" s="71">
        <f t="shared" ca="1" si="21"/>
        <v>0</v>
      </c>
      <c r="AD19" s="71">
        <f t="shared" ca="1" si="15"/>
        <v>0</v>
      </c>
      <c r="AE19" s="72">
        <f t="shared" si="16"/>
        <v>0</v>
      </c>
      <c r="AF19" s="73">
        <f>IF(A19&gt;入力設定!$B$6*12,0,IF(AND(ISNUMBER(C19),C19&gt;=0,C19&lt;=1),0,1))</f>
        <v>0</v>
      </c>
    </row>
    <row r="20" spans="1:32" ht="21" customHeight="1">
      <c r="A20" s="68">
        <f>15</f>
        <v>15</v>
      </c>
      <c r="B20" s="69">
        <f>EDATE(入力設定!$B$7,A20-1)</f>
        <v>46753</v>
      </c>
      <c r="C20" s="80">
        <f>INDEX(入力設定!$C$15:$C$24,INT((A20-1)/60)+1)</f>
        <v>1.11E-2</v>
      </c>
      <c r="D20" s="70">
        <f t="shared" ca="1" si="17"/>
        <v>34039023.862919681</v>
      </c>
      <c r="E20" s="70">
        <f t="shared" ca="1" si="18"/>
        <v>406</v>
      </c>
      <c r="F20" s="70">
        <f ca="1">IF(D20+Z20&lt;0.000001,0,IF(D20&lt;0.000001,F19,IF(OR(AE20=1,AND(K19&gt;0,入力設定!$B$8="返済額軽減型",入力設定!$B$11="翌月")),IF(C20=0,D20/MAX(1,E20),D20*(C20/12)/(1-(1+C20/12)^(-MAX(1,E20)))),F19)))</f>
        <v>100604.4016546396</v>
      </c>
      <c r="G20" s="70">
        <f t="shared" ca="1" si="0"/>
        <v>100604.4016546396</v>
      </c>
      <c r="H20" s="70">
        <f t="shared" ca="1" si="1"/>
        <v>31486.097073200708</v>
      </c>
      <c r="I20" s="70">
        <f t="shared" ca="1" si="2"/>
        <v>69118.30458143889</v>
      </c>
      <c r="J20" s="70">
        <f>SUMIFS(入力設定!$G$5:$G$24,入力設定!$F$5:$F$24,A20)</f>
        <v>0</v>
      </c>
      <c r="K20" s="70">
        <f t="shared" ca="1" si="3"/>
        <v>0</v>
      </c>
      <c r="L20" s="70">
        <f ca="1">IF(K20&gt;0,入力設定!$B$9,0)</f>
        <v>0</v>
      </c>
      <c r="M20" s="70">
        <f t="shared" ca="1" si="4"/>
        <v>33969905.55833824</v>
      </c>
      <c r="N20" s="70">
        <f ca="1">IF(M20+AA20&lt;0.000001,0,IF(AND(K20&gt;0,入力設定!$B$8="期間短縮型",AA20&lt;0.000001,F20&gt;M20*C20/12),MAX(1,MIN(E20-1,IF(C20=0,ROUNDUP(M20/F20,0),ROUNDUP(-LN(1-M20*(C20/12)/F20)/LN(1+C20/12),0)))),MAX(1,E20-1)))</f>
        <v>405</v>
      </c>
      <c r="O20" s="70">
        <f t="shared" ca="1" si="5"/>
        <v>100604.4016546396</v>
      </c>
      <c r="P20" s="70">
        <f t="shared" ca="1" si="19"/>
        <v>34039023.862919681</v>
      </c>
      <c r="Q20" s="70">
        <f ca="1">IF(OR(A20&gt;入力設定!$B$6*12,P20+AC20&lt;0.000001),0,IF(P20&lt;0.000001,Q19,IF(AE20=1,IF(C20=0,P20/MAX(1,入力設定!$B$6*12-A20+1),P20*(C20/12)/(1-(1+C20/12)^(-MAX(1,入力設定!$B$6*12-A20+1)))),Q19)))</f>
        <v>100604.4016546396</v>
      </c>
      <c r="R20" s="70">
        <f ca="1">IF(P20+AC20&lt;0.000001,0,IF(A20=入力設定!$B$6*12,P20+AB20+AC20,MIN(Q20,P20+AB20+AC20)))</f>
        <v>100604.4016546396</v>
      </c>
      <c r="S20" s="70">
        <f t="shared" ca="1" si="6"/>
        <v>31486.097073200708</v>
      </c>
      <c r="T20" s="70">
        <f t="shared" ca="1" si="7"/>
        <v>69118.30458143889</v>
      </c>
      <c r="U20" s="70">
        <f t="shared" ca="1" si="8"/>
        <v>33969905.55833824</v>
      </c>
      <c r="V20" s="70">
        <f t="shared" ca="1" si="9"/>
        <v>0</v>
      </c>
      <c r="W20" s="70">
        <f t="shared" ca="1" si="10"/>
        <v>0</v>
      </c>
      <c r="X20" s="70">
        <f t="shared" ca="1" si="11"/>
        <v>0</v>
      </c>
      <c r="Y20" s="71">
        <f t="shared" ca="1" si="12"/>
        <v>31486.097073200708</v>
      </c>
      <c r="Z20" s="71">
        <f t="shared" ca="1" si="20"/>
        <v>0</v>
      </c>
      <c r="AA20" s="71">
        <f t="shared" ca="1" si="13"/>
        <v>0</v>
      </c>
      <c r="AB20" s="71">
        <f t="shared" ca="1" si="14"/>
        <v>31486.097073200708</v>
      </c>
      <c r="AC20" s="71">
        <f t="shared" ca="1" si="21"/>
        <v>0</v>
      </c>
      <c r="AD20" s="71">
        <f t="shared" ca="1" si="15"/>
        <v>0</v>
      </c>
      <c r="AE20" s="72">
        <f t="shared" si="16"/>
        <v>0</v>
      </c>
      <c r="AF20" s="73">
        <f>IF(A20&gt;入力設定!$B$6*12,0,IF(AND(ISNUMBER(C20),C20&gt;=0,C20&lt;=1),0,1))</f>
        <v>0</v>
      </c>
    </row>
    <row r="21" spans="1:32" ht="21" customHeight="1">
      <c r="A21" s="68">
        <f>16</f>
        <v>16</v>
      </c>
      <c r="B21" s="69">
        <f>EDATE(入力設定!$B$7,A21-1)</f>
        <v>46784</v>
      </c>
      <c r="C21" s="80">
        <f>INDEX(入力設定!$C$15:$C$24,INT((A21-1)/60)+1)</f>
        <v>1.11E-2</v>
      </c>
      <c r="D21" s="70">
        <f t="shared" ca="1" si="17"/>
        <v>33969905.55833824</v>
      </c>
      <c r="E21" s="70">
        <f t="shared" ca="1" si="18"/>
        <v>405</v>
      </c>
      <c r="F21" s="70">
        <f ca="1">IF(D21+Z21&lt;0.000001,0,IF(D21&lt;0.000001,F20,IF(OR(AE21=1,AND(K20&gt;0,入力設定!$B$8="返済額軽減型",入力設定!$B$11="翌月")),IF(C21=0,D21/MAX(1,E21),D21*(C21/12)/(1-(1+C21/12)^(-MAX(1,E21)))),F20)))</f>
        <v>100604.4016546396</v>
      </c>
      <c r="G21" s="70">
        <f t="shared" ca="1" si="0"/>
        <v>100604.4016546396</v>
      </c>
      <c r="H21" s="70">
        <f t="shared" ca="1" si="1"/>
        <v>31422.162641462874</v>
      </c>
      <c r="I21" s="70">
        <f t="shared" ca="1" si="2"/>
        <v>69182.239013176732</v>
      </c>
      <c r="J21" s="70">
        <f>SUMIFS(入力設定!$G$5:$G$24,入力設定!$F$5:$F$24,A21)</f>
        <v>0</v>
      </c>
      <c r="K21" s="70">
        <f t="shared" ca="1" si="3"/>
        <v>0</v>
      </c>
      <c r="L21" s="70">
        <f ca="1">IF(K21&gt;0,入力設定!$B$9,0)</f>
        <v>0</v>
      </c>
      <c r="M21" s="70">
        <f t="shared" ca="1" si="4"/>
        <v>33900723.31932506</v>
      </c>
      <c r="N21" s="70">
        <f ca="1">IF(M21+AA21&lt;0.000001,0,IF(AND(K21&gt;0,入力設定!$B$8="期間短縮型",AA21&lt;0.000001,F21&gt;M21*C21/12),MAX(1,MIN(E21-1,IF(C21=0,ROUNDUP(M21/F21,0),ROUNDUP(-LN(1-M21*(C21/12)/F21)/LN(1+C21/12),0)))),MAX(1,E21-1)))</f>
        <v>404</v>
      </c>
      <c r="O21" s="70">
        <f t="shared" ca="1" si="5"/>
        <v>100604.4016546396</v>
      </c>
      <c r="P21" s="70">
        <f t="shared" ca="1" si="19"/>
        <v>33969905.55833824</v>
      </c>
      <c r="Q21" s="70">
        <f ca="1">IF(OR(A21&gt;入力設定!$B$6*12,P21+AC21&lt;0.000001),0,IF(P21&lt;0.000001,Q20,IF(AE21=1,IF(C21=0,P21/MAX(1,入力設定!$B$6*12-A21+1),P21*(C21/12)/(1-(1+C21/12)^(-MAX(1,入力設定!$B$6*12-A21+1)))),Q20)))</f>
        <v>100604.4016546396</v>
      </c>
      <c r="R21" s="70">
        <f ca="1">IF(P21+AC21&lt;0.000001,0,IF(A21=入力設定!$B$6*12,P21+AB21+AC21,MIN(Q21,P21+AB21+AC21)))</f>
        <v>100604.4016546396</v>
      </c>
      <c r="S21" s="70">
        <f t="shared" ca="1" si="6"/>
        <v>31422.162641462874</v>
      </c>
      <c r="T21" s="70">
        <f t="shared" ca="1" si="7"/>
        <v>69182.239013176732</v>
      </c>
      <c r="U21" s="70">
        <f t="shared" ca="1" si="8"/>
        <v>33900723.31932506</v>
      </c>
      <c r="V21" s="70">
        <f t="shared" ca="1" si="9"/>
        <v>0</v>
      </c>
      <c r="W21" s="70">
        <f t="shared" ca="1" si="10"/>
        <v>0</v>
      </c>
      <c r="X21" s="70">
        <f t="shared" ca="1" si="11"/>
        <v>0</v>
      </c>
      <c r="Y21" s="71">
        <f t="shared" ca="1" si="12"/>
        <v>31422.162641462874</v>
      </c>
      <c r="Z21" s="71">
        <f t="shared" ca="1" si="20"/>
        <v>0</v>
      </c>
      <c r="AA21" s="71">
        <f t="shared" ca="1" si="13"/>
        <v>0</v>
      </c>
      <c r="AB21" s="71">
        <f t="shared" ca="1" si="14"/>
        <v>31422.162641462874</v>
      </c>
      <c r="AC21" s="71">
        <f t="shared" ca="1" si="21"/>
        <v>0</v>
      </c>
      <c r="AD21" s="71">
        <f t="shared" ca="1" si="15"/>
        <v>0</v>
      </c>
      <c r="AE21" s="72">
        <f t="shared" si="16"/>
        <v>0</v>
      </c>
      <c r="AF21" s="73">
        <f>IF(A21&gt;入力設定!$B$6*12,0,IF(AND(ISNUMBER(C21),C21&gt;=0,C21&lt;=1),0,1))</f>
        <v>0</v>
      </c>
    </row>
    <row r="22" spans="1:32" ht="21" customHeight="1">
      <c r="A22" s="68">
        <f>17</f>
        <v>17</v>
      </c>
      <c r="B22" s="69">
        <f>EDATE(入力設定!$B$7,A22-1)</f>
        <v>46813</v>
      </c>
      <c r="C22" s="80">
        <f>INDEX(入力設定!$C$15:$C$24,INT((A22-1)/60)+1)</f>
        <v>1.11E-2</v>
      </c>
      <c r="D22" s="70">
        <f t="shared" ca="1" si="17"/>
        <v>33900723.31932506</v>
      </c>
      <c r="E22" s="70">
        <f t="shared" ca="1" si="18"/>
        <v>404</v>
      </c>
      <c r="F22" s="70">
        <f ca="1">IF(D22+Z22&lt;0.000001,0,IF(D22&lt;0.000001,F21,IF(OR(AE22=1,AND(K21&gt;0,入力設定!$B$8="返済額軽減型",入力設定!$B$11="翌月")),IF(C22=0,D22/MAX(1,E22),D22*(C22/12)/(1-(1+C22/12)^(-MAX(1,E22)))),F21)))</f>
        <v>100604.4016546396</v>
      </c>
      <c r="G22" s="70">
        <f t="shared" ca="1" si="0"/>
        <v>100604.4016546396</v>
      </c>
      <c r="H22" s="70">
        <f t="shared" ca="1" si="1"/>
        <v>31358.169070375679</v>
      </c>
      <c r="I22" s="70">
        <f t="shared" ca="1" si="2"/>
        <v>69246.232584263926</v>
      </c>
      <c r="J22" s="70">
        <f>SUMIFS(入力設定!$G$5:$G$24,入力設定!$F$5:$F$24,A22)</f>
        <v>0</v>
      </c>
      <c r="K22" s="70">
        <f t="shared" ca="1" si="3"/>
        <v>0</v>
      </c>
      <c r="L22" s="70">
        <f ca="1">IF(K22&gt;0,入力設定!$B$9,0)</f>
        <v>0</v>
      </c>
      <c r="M22" s="70">
        <f t="shared" ca="1" si="4"/>
        <v>33831477.086740799</v>
      </c>
      <c r="N22" s="70">
        <f ca="1">IF(M22+AA22&lt;0.000001,0,IF(AND(K22&gt;0,入力設定!$B$8="期間短縮型",AA22&lt;0.000001,F22&gt;M22*C22/12),MAX(1,MIN(E22-1,IF(C22=0,ROUNDUP(M22/F22,0),ROUNDUP(-LN(1-M22*(C22/12)/F22)/LN(1+C22/12),0)))),MAX(1,E22-1)))</f>
        <v>403</v>
      </c>
      <c r="O22" s="70">
        <f t="shared" ca="1" si="5"/>
        <v>100604.4016546396</v>
      </c>
      <c r="P22" s="70">
        <f t="shared" ca="1" si="19"/>
        <v>33900723.31932506</v>
      </c>
      <c r="Q22" s="70">
        <f ca="1">IF(OR(A22&gt;入力設定!$B$6*12,P22+AC22&lt;0.000001),0,IF(P22&lt;0.000001,Q21,IF(AE22=1,IF(C22=0,P22/MAX(1,入力設定!$B$6*12-A22+1),P22*(C22/12)/(1-(1+C22/12)^(-MAX(1,入力設定!$B$6*12-A22+1)))),Q21)))</f>
        <v>100604.4016546396</v>
      </c>
      <c r="R22" s="70">
        <f ca="1">IF(P22+AC22&lt;0.000001,0,IF(A22=入力設定!$B$6*12,P22+AB22+AC22,MIN(Q22,P22+AB22+AC22)))</f>
        <v>100604.4016546396</v>
      </c>
      <c r="S22" s="70">
        <f t="shared" ca="1" si="6"/>
        <v>31358.169070375679</v>
      </c>
      <c r="T22" s="70">
        <f t="shared" ca="1" si="7"/>
        <v>69246.232584263926</v>
      </c>
      <c r="U22" s="70">
        <f t="shared" ca="1" si="8"/>
        <v>33831477.086740799</v>
      </c>
      <c r="V22" s="70">
        <f t="shared" ca="1" si="9"/>
        <v>0</v>
      </c>
      <c r="W22" s="70">
        <f t="shared" ca="1" si="10"/>
        <v>0</v>
      </c>
      <c r="X22" s="70">
        <f t="shared" ca="1" si="11"/>
        <v>0</v>
      </c>
      <c r="Y22" s="71">
        <f t="shared" ca="1" si="12"/>
        <v>31358.169070375679</v>
      </c>
      <c r="Z22" s="71">
        <f t="shared" ca="1" si="20"/>
        <v>0</v>
      </c>
      <c r="AA22" s="71">
        <f t="shared" ca="1" si="13"/>
        <v>0</v>
      </c>
      <c r="AB22" s="71">
        <f t="shared" ca="1" si="14"/>
        <v>31358.169070375679</v>
      </c>
      <c r="AC22" s="71">
        <f t="shared" ca="1" si="21"/>
        <v>0</v>
      </c>
      <c r="AD22" s="71">
        <f t="shared" ca="1" si="15"/>
        <v>0</v>
      </c>
      <c r="AE22" s="72">
        <f t="shared" si="16"/>
        <v>0</v>
      </c>
      <c r="AF22" s="73">
        <f>IF(A22&gt;入力設定!$B$6*12,0,IF(AND(ISNUMBER(C22),C22&gt;=0,C22&lt;=1),0,1))</f>
        <v>0</v>
      </c>
    </row>
    <row r="23" spans="1:32" ht="21" customHeight="1">
      <c r="A23" s="68">
        <f>18</f>
        <v>18</v>
      </c>
      <c r="B23" s="69">
        <f>EDATE(入力設定!$B$7,A23-1)</f>
        <v>46844</v>
      </c>
      <c r="C23" s="80">
        <f>INDEX(入力設定!$C$15:$C$24,INT((A23-1)/60)+1)</f>
        <v>1.11E-2</v>
      </c>
      <c r="D23" s="70">
        <f t="shared" ca="1" si="17"/>
        <v>33831477.086740799</v>
      </c>
      <c r="E23" s="70">
        <f t="shared" ca="1" si="18"/>
        <v>403</v>
      </c>
      <c r="F23" s="70">
        <f ca="1">IF(D23+Z23&lt;0.000001,0,IF(D23&lt;0.000001,F22,IF(OR(AE23=1,AND(K22&gt;0,入力設定!$B$8="返済額軽減型",入力設定!$B$11="翌月")),IF(C23=0,D23/MAX(1,E23),D23*(C23/12)/(1-(1+C23/12)^(-MAX(1,E23)))),F22)))</f>
        <v>100604.4016546396</v>
      </c>
      <c r="G23" s="70">
        <f t="shared" ca="1" si="0"/>
        <v>100604.4016546396</v>
      </c>
      <c r="H23" s="70">
        <f t="shared" ca="1" si="1"/>
        <v>31294.116305235239</v>
      </c>
      <c r="I23" s="70">
        <f t="shared" ca="1" si="2"/>
        <v>69310.285349404367</v>
      </c>
      <c r="J23" s="70">
        <f>SUMIFS(入力設定!$G$5:$G$24,入力設定!$F$5:$F$24,A23)</f>
        <v>0</v>
      </c>
      <c r="K23" s="70">
        <f t="shared" ca="1" si="3"/>
        <v>0</v>
      </c>
      <c r="L23" s="70">
        <f ca="1">IF(K23&gt;0,入力設定!$B$9,0)</f>
        <v>0</v>
      </c>
      <c r="M23" s="70">
        <f t="shared" ca="1" si="4"/>
        <v>33762166.801391393</v>
      </c>
      <c r="N23" s="70">
        <f ca="1">IF(M23+AA23&lt;0.000001,0,IF(AND(K23&gt;0,入力設定!$B$8="期間短縮型",AA23&lt;0.000001,F23&gt;M23*C23/12),MAX(1,MIN(E23-1,IF(C23=0,ROUNDUP(M23/F23,0),ROUNDUP(-LN(1-M23*(C23/12)/F23)/LN(1+C23/12),0)))),MAX(1,E23-1)))</f>
        <v>402</v>
      </c>
      <c r="O23" s="70">
        <f t="shared" ca="1" si="5"/>
        <v>100604.4016546396</v>
      </c>
      <c r="P23" s="70">
        <f t="shared" ca="1" si="19"/>
        <v>33831477.086740799</v>
      </c>
      <c r="Q23" s="70">
        <f ca="1">IF(OR(A23&gt;入力設定!$B$6*12,P23+AC23&lt;0.000001),0,IF(P23&lt;0.000001,Q22,IF(AE23=1,IF(C23=0,P23/MAX(1,入力設定!$B$6*12-A23+1),P23*(C23/12)/(1-(1+C23/12)^(-MAX(1,入力設定!$B$6*12-A23+1)))),Q22)))</f>
        <v>100604.4016546396</v>
      </c>
      <c r="R23" s="70">
        <f ca="1">IF(P23+AC23&lt;0.000001,0,IF(A23=入力設定!$B$6*12,P23+AB23+AC23,MIN(Q23,P23+AB23+AC23)))</f>
        <v>100604.4016546396</v>
      </c>
      <c r="S23" s="70">
        <f t="shared" ca="1" si="6"/>
        <v>31294.116305235239</v>
      </c>
      <c r="T23" s="70">
        <f t="shared" ca="1" si="7"/>
        <v>69310.285349404367</v>
      </c>
      <c r="U23" s="70">
        <f t="shared" ca="1" si="8"/>
        <v>33762166.801391393</v>
      </c>
      <c r="V23" s="70">
        <f t="shared" ca="1" si="9"/>
        <v>0</v>
      </c>
      <c r="W23" s="70">
        <f t="shared" ca="1" si="10"/>
        <v>0</v>
      </c>
      <c r="X23" s="70">
        <f t="shared" ca="1" si="11"/>
        <v>0</v>
      </c>
      <c r="Y23" s="71">
        <f t="shared" ca="1" si="12"/>
        <v>31294.116305235239</v>
      </c>
      <c r="Z23" s="71">
        <f t="shared" ca="1" si="20"/>
        <v>0</v>
      </c>
      <c r="AA23" s="71">
        <f t="shared" ca="1" si="13"/>
        <v>0</v>
      </c>
      <c r="AB23" s="71">
        <f t="shared" ca="1" si="14"/>
        <v>31294.116305235239</v>
      </c>
      <c r="AC23" s="71">
        <f t="shared" ca="1" si="21"/>
        <v>0</v>
      </c>
      <c r="AD23" s="71">
        <f t="shared" ca="1" si="15"/>
        <v>0</v>
      </c>
      <c r="AE23" s="72">
        <f t="shared" si="16"/>
        <v>0</v>
      </c>
      <c r="AF23" s="73">
        <f>IF(A23&gt;入力設定!$B$6*12,0,IF(AND(ISNUMBER(C23),C23&gt;=0,C23&lt;=1),0,1))</f>
        <v>0</v>
      </c>
    </row>
    <row r="24" spans="1:32" ht="21" customHeight="1">
      <c r="A24" s="68">
        <f>19</f>
        <v>19</v>
      </c>
      <c r="B24" s="69">
        <f>EDATE(入力設定!$B$7,A24-1)</f>
        <v>46874</v>
      </c>
      <c r="C24" s="80">
        <f>INDEX(入力設定!$C$15:$C$24,INT((A24-1)/60)+1)</f>
        <v>1.11E-2</v>
      </c>
      <c r="D24" s="70">
        <f t="shared" ca="1" si="17"/>
        <v>33762166.801391393</v>
      </c>
      <c r="E24" s="70">
        <f t="shared" ca="1" si="18"/>
        <v>402</v>
      </c>
      <c r="F24" s="70">
        <f ca="1">IF(D24+Z24&lt;0.000001,0,IF(D24&lt;0.000001,F23,IF(OR(AE24=1,AND(K23&gt;0,入力設定!$B$8="返済額軽減型",入力設定!$B$11="翌月")),IF(C24=0,D24/MAX(1,E24),D24*(C24/12)/(1-(1+C24/12)^(-MAX(1,E24)))),F23)))</f>
        <v>100604.4016546396</v>
      </c>
      <c r="G24" s="70">
        <f t="shared" ca="1" si="0"/>
        <v>100604.4016546396</v>
      </c>
      <c r="H24" s="70">
        <f t="shared" ca="1" si="1"/>
        <v>31230.004291287041</v>
      </c>
      <c r="I24" s="70">
        <f t="shared" ca="1" si="2"/>
        <v>69374.39736335256</v>
      </c>
      <c r="J24" s="70">
        <f>SUMIFS(入力設定!$G$5:$G$24,入力設定!$F$5:$F$24,A24)</f>
        <v>0</v>
      </c>
      <c r="K24" s="70">
        <f t="shared" ca="1" si="3"/>
        <v>0</v>
      </c>
      <c r="L24" s="70">
        <f ca="1">IF(K24&gt;0,入力設定!$B$9,0)</f>
        <v>0</v>
      </c>
      <c r="M24" s="70">
        <f t="shared" ca="1" si="4"/>
        <v>33692792.404028043</v>
      </c>
      <c r="N24" s="70">
        <f ca="1">IF(M24+AA24&lt;0.000001,0,IF(AND(K24&gt;0,入力設定!$B$8="期間短縮型",AA24&lt;0.000001,F24&gt;M24*C24/12),MAX(1,MIN(E24-1,IF(C24=0,ROUNDUP(M24/F24,0),ROUNDUP(-LN(1-M24*(C24/12)/F24)/LN(1+C24/12),0)))),MAX(1,E24-1)))</f>
        <v>401</v>
      </c>
      <c r="O24" s="70">
        <f t="shared" ca="1" si="5"/>
        <v>100604.4016546396</v>
      </c>
      <c r="P24" s="70">
        <f t="shared" ca="1" si="19"/>
        <v>33762166.801391393</v>
      </c>
      <c r="Q24" s="70">
        <f ca="1">IF(OR(A24&gt;入力設定!$B$6*12,P24+AC24&lt;0.000001),0,IF(P24&lt;0.000001,Q23,IF(AE24=1,IF(C24=0,P24/MAX(1,入力設定!$B$6*12-A24+1),P24*(C24/12)/(1-(1+C24/12)^(-MAX(1,入力設定!$B$6*12-A24+1)))),Q23)))</f>
        <v>100604.4016546396</v>
      </c>
      <c r="R24" s="70">
        <f ca="1">IF(P24+AC24&lt;0.000001,0,IF(A24=入力設定!$B$6*12,P24+AB24+AC24,MIN(Q24,P24+AB24+AC24)))</f>
        <v>100604.4016546396</v>
      </c>
      <c r="S24" s="70">
        <f t="shared" ca="1" si="6"/>
        <v>31230.004291287041</v>
      </c>
      <c r="T24" s="70">
        <f t="shared" ca="1" si="7"/>
        <v>69374.39736335256</v>
      </c>
      <c r="U24" s="70">
        <f t="shared" ca="1" si="8"/>
        <v>33692792.404028043</v>
      </c>
      <c r="V24" s="70">
        <f t="shared" ca="1" si="9"/>
        <v>0</v>
      </c>
      <c r="W24" s="70">
        <f t="shared" ca="1" si="10"/>
        <v>0</v>
      </c>
      <c r="X24" s="70">
        <f t="shared" ca="1" si="11"/>
        <v>0</v>
      </c>
      <c r="Y24" s="71">
        <f t="shared" ca="1" si="12"/>
        <v>31230.004291287041</v>
      </c>
      <c r="Z24" s="71">
        <f t="shared" ca="1" si="20"/>
        <v>0</v>
      </c>
      <c r="AA24" s="71">
        <f t="shared" ca="1" si="13"/>
        <v>0</v>
      </c>
      <c r="AB24" s="71">
        <f t="shared" ca="1" si="14"/>
        <v>31230.004291287041</v>
      </c>
      <c r="AC24" s="71">
        <f t="shared" ca="1" si="21"/>
        <v>0</v>
      </c>
      <c r="AD24" s="71">
        <f t="shared" ca="1" si="15"/>
        <v>0</v>
      </c>
      <c r="AE24" s="72">
        <f t="shared" si="16"/>
        <v>0</v>
      </c>
      <c r="AF24" s="73">
        <f>IF(A24&gt;入力設定!$B$6*12,0,IF(AND(ISNUMBER(C24),C24&gt;=0,C24&lt;=1),0,1))</f>
        <v>0</v>
      </c>
    </row>
    <row r="25" spans="1:32" ht="21" customHeight="1">
      <c r="A25" s="68">
        <f>20</f>
        <v>20</v>
      </c>
      <c r="B25" s="69">
        <f>EDATE(入力設定!$B$7,A25-1)</f>
        <v>46905</v>
      </c>
      <c r="C25" s="80">
        <f>INDEX(入力設定!$C$15:$C$24,INT((A25-1)/60)+1)</f>
        <v>1.11E-2</v>
      </c>
      <c r="D25" s="70">
        <f t="shared" ca="1" si="17"/>
        <v>33692792.404028043</v>
      </c>
      <c r="E25" s="70">
        <f t="shared" ca="1" si="18"/>
        <v>401</v>
      </c>
      <c r="F25" s="70">
        <f ca="1">IF(D25+Z25&lt;0.000001,0,IF(D25&lt;0.000001,F24,IF(OR(AE25=1,AND(K24&gt;0,入力設定!$B$8="返済額軽減型",入力設定!$B$11="翌月")),IF(C25=0,D25/MAX(1,E25),D25*(C25/12)/(1-(1+C25/12)^(-MAX(1,E25)))),F24)))</f>
        <v>100604.4016546396</v>
      </c>
      <c r="G25" s="70">
        <f t="shared" ca="1" si="0"/>
        <v>100604.4016546396</v>
      </c>
      <c r="H25" s="70">
        <f t="shared" ca="1" si="1"/>
        <v>31165.832973725945</v>
      </c>
      <c r="I25" s="70">
        <f t="shared" ca="1" si="2"/>
        <v>69438.568680913653</v>
      </c>
      <c r="J25" s="70">
        <f>SUMIFS(入力設定!$G$5:$G$24,入力設定!$F$5:$F$24,A25)</f>
        <v>0</v>
      </c>
      <c r="K25" s="70">
        <f t="shared" ca="1" si="3"/>
        <v>0</v>
      </c>
      <c r="L25" s="70">
        <f ca="1">IF(K25&gt;0,入力設定!$B$9,0)</f>
        <v>0</v>
      </c>
      <c r="M25" s="70">
        <f t="shared" ca="1" si="4"/>
        <v>33623353.835347131</v>
      </c>
      <c r="N25" s="70">
        <f ca="1">IF(M25+AA25&lt;0.000001,0,IF(AND(K25&gt;0,入力設定!$B$8="期間短縮型",AA25&lt;0.000001,F25&gt;M25*C25/12),MAX(1,MIN(E25-1,IF(C25=0,ROUNDUP(M25/F25,0),ROUNDUP(-LN(1-M25*(C25/12)/F25)/LN(1+C25/12),0)))),MAX(1,E25-1)))</f>
        <v>400</v>
      </c>
      <c r="O25" s="70">
        <f t="shared" ca="1" si="5"/>
        <v>100604.4016546396</v>
      </c>
      <c r="P25" s="70">
        <f t="shared" ca="1" si="19"/>
        <v>33692792.404028043</v>
      </c>
      <c r="Q25" s="70">
        <f ca="1">IF(OR(A25&gt;入力設定!$B$6*12,P25+AC25&lt;0.000001),0,IF(P25&lt;0.000001,Q24,IF(AE25=1,IF(C25=0,P25/MAX(1,入力設定!$B$6*12-A25+1),P25*(C25/12)/(1-(1+C25/12)^(-MAX(1,入力設定!$B$6*12-A25+1)))),Q24)))</f>
        <v>100604.4016546396</v>
      </c>
      <c r="R25" s="70">
        <f ca="1">IF(P25+AC25&lt;0.000001,0,IF(A25=入力設定!$B$6*12,P25+AB25+AC25,MIN(Q25,P25+AB25+AC25)))</f>
        <v>100604.4016546396</v>
      </c>
      <c r="S25" s="70">
        <f t="shared" ca="1" si="6"/>
        <v>31165.832973725945</v>
      </c>
      <c r="T25" s="70">
        <f t="shared" ca="1" si="7"/>
        <v>69438.568680913653</v>
      </c>
      <c r="U25" s="70">
        <f t="shared" ca="1" si="8"/>
        <v>33623353.835347131</v>
      </c>
      <c r="V25" s="70">
        <f t="shared" ca="1" si="9"/>
        <v>0</v>
      </c>
      <c r="W25" s="70">
        <f t="shared" ca="1" si="10"/>
        <v>0</v>
      </c>
      <c r="X25" s="70">
        <f t="shared" ca="1" si="11"/>
        <v>0</v>
      </c>
      <c r="Y25" s="71">
        <f t="shared" ca="1" si="12"/>
        <v>31165.832973725945</v>
      </c>
      <c r="Z25" s="71">
        <f t="shared" ca="1" si="20"/>
        <v>0</v>
      </c>
      <c r="AA25" s="71">
        <f t="shared" ca="1" si="13"/>
        <v>0</v>
      </c>
      <c r="AB25" s="71">
        <f t="shared" ca="1" si="14"/>
        <v>31165.832973725945</v>
      </c>
      <c r="AC25" s="71">
        <f t="shared" ca="1" si="21"/>
        <v>0</v>
      </c>
      <c r="AD25" s="71">
        <f t="shared" ca="1" si="15"/>
        <v>0</v>
      </c>
      <c r="AE25" s="72">
        <f t="shared" si="16"/>
        <v>0</v>
      </c>
      <c r="AF25" s="73">
        <f>IF(A25&gt;入力設定!$B$6*12,0,IF(AND(ISNUMBER(C25),C25&gt;=0,C25&lt;=1),0,1))</f>
        <v>0</v>
      </c>
    </row>
    <row r="26" spans="1:32" ht="21" customHeight="1">
      <c r="A26" s="68">
        <f>21</f>
        <v>21</v>
      </c>
      <c r="B26" s="69">
        <f>EDATE(入力設定!$B$7,A26-1)</f>
        <v>46935</v>
      </c>
      <c r="C26" s="80">
        <f>INDEX(入力設定!$C$15:$C$24,INT((A26-1)/60)+1)</f>
        <v>1.11E-2</v>
      </c>
      <c r="D26" s="70">
        <f t="shared" ca="1" si="17"/>
        <v>33623353.835347131</v>
      </c>
      <c r="E26" s="70">
        <f t="shared" ca="1" si="18"/>
        <v>400</v>
      </c>
      <c r="F26" s="70">
        <f ca="1">IF(D26+Z26&lt;0.000001,0,IF(D26&lt;0.000001,F25,IF(OR(AE26=1,AND(K25&gt;0,入力設定!$B$8="返済額軽減型",入力設定!$B$11="翌月")),IF(C26=0,D26/MAX(1,E26),D26*(C26/12)/(1-(1+C26/12)^(-MAX(1,E26)))),F25)))</f>
        <v>100604.4016546396</v>
      </c>
      <c r="G26" s="70">
        <f t="shared" ca="1" si="0"/>
        <v>100604.4016546396</v>
      </c>
      <c r="H26" s="70">
        <f t="shared" ca="1" si="1"/>
        <v>31101.602297696096</v>
      </c>
      <c r="I26" s="70">
        <f t="shared" ca="1" si="2"/>
        <v>69502.799356943506</v>
      </c>
      <c r="J26" s="70">
        <f>SUMIFS(入力設定!$G$5:$G$24,入力設定!$F$5:$F$24,A26)</f>
        <v>0</v>
      </c>
      <c r="K26" s="70">
        <f t="shared" ca="1" si="3"/>
        <v>0</v>
      </c>
      <c r="L26" s="70">
        <f ca="1">IF(K26&gt;0,入力設定!$B$9,0)</f>
        <v>0</v>
      </c>
      <c r="M26" s="70">
        <f t="shared" ca="1" si="4"/>
        <v>33553851.035990186</v>
      </c>
      <c r="N26" s="70">
        <f ca="1">IF(M26+AA26&lt;0.000001,0,IF(AND(K26&gt;0,入力設定!$B$8="期間短縮型",AA26&lt;0.000001,F26&gt;M26*C26/12),MAX(1,MIN(E26-1,IF(C26=0,ROUNDUP(M26/F26,0),ROUNDUP(-LN(1-M26*(C26/12)/F26)/LN(1+C26/12),0)))),MAX(1,E26-1)))</f>
        <v>399</v>
      </c>
      <c r="O26" s="70">
        <f t="shared" ca="1" si="5"/>
        <v>100604.4016546396</v>
      </c>
      <c r="P26" s="70">
        <f t="shared" ca="1" si="19"/>
        <v>33623353.835347131</v>
      </c>
      <c r="Q26" s="70">
        <f ca="1">IF(OR(A26&gt;入力設定!$B$6*12,P26+AC26&lt;0.000001),0,IF(P26&lt;0.000001,Q25,IF(AE26=1,IF(C26=0,P26/MAX(1,入力設定!$B$6*12-A26+1),P26*(C26/12)/(1-(1+C26/12)^(-MAX(1,入力設定!$B$6*12-A26+1)))),Q25)))</f>
        <v>100604.4016546396</v>
      </c>
      <c r="R26" s="70">
        <f ca="1">IF(P26+AC26&lt;0.000001,0,IF(A26=入力設定!$B$6*12,P26+AB26+AC26,MIN(Q26,P26+AB26+AC26)))</f>
        <v>100604.4016546396</v>
      </c>
      <c r="S26" s="70">
        <f t="shared" ca="1" si="6"/>
        <v>31101.602297696096</v>
      </c>
      <c r="T26" s="70">
        <f t="shared" ca="1" si="7"/>
        <v>69502.799356943506</v>
      </c>
      <c r="U26" s="70">
        <f t="shared" ca="1" si="8"/>
        <v>33553851.035990186</v>
      </c>
      <c r="V26" s="70">
        <f t="shared" ca="1" si="9"/>
        <v>0</v>
      </c>
      <c r="W26" s="70">
        <f t="shared" ca="1" si="10"/>
        <v>0</v>
      </c>
      <c r="X26" s="70">
        <f t="shared" ca="1" si="11"/>
        <v>0</v>
      </c>
      <c r="Y26" s="71">
        <f t="shared" ca="1" si="12"/>
        <v>31101.602297696096</v>
      </c>
      <c r="Z26" s="71">
        <f t="shared" ca="1" si="20"/>
        <v>0</v>
      </c>
      <c r="AA26" s="71">
        <f t="shared" ca="1" si="13"/>
        <v>0</v>
      </c>
      <c r="AB26" s="71">
        <f t="shared" ca="1" si="14"/>
        <v>31101.602297696096</v>
      </c>
      <c r="AC26" s="71">
        <f t="shared" ca="1" si="21"/>
        <v>0</v>
      </c>
      <c r="AD26" s="71">
        <f t="shared" ca="1" si="15"/>
        <v>0</v>
      </c>
      <c r="AE26" s="72">
        <f t="shared" si="16"/>
        <v>0</v>
      </c>
      <c r="AF26" s="73">
        <f>IF(A26&gt;入力設定!$B$6*12,0,IF(AND(ISNUMBER(C26),C26&gt;=0,C26&lt;=1),0,1))</f>
        <v>0</v>
      </c>
    </row>
    <row r="27" spans="1:32" ht="21" customHeight="1">
      <c r="A27" s="68">
        <f>22</f>
        <v>22</v>
      </c>
      <c r="B27" s="69">
        <f>EDATE(入力設定!$B$7,A27-1)</f>
        <v>46966</v>
      </c>
      <c r="C27" s="80">
        <f>INDEX(入力設定!$C$15:$C$24,INT((A27-1)/60)+1)</f>
        <v>1.11E-2</v>
      </c>
      <c r="D27" s="70">
        <f t="shared" ca="1" si="17"/>
        <v>33553851.035990186</v>
      </c>
      <c r="E27" s="70">
        <f t="shared" ca="1" si="18"/>
        <v>399</v>
      </c>
      <c r="F27" s="70">
        <f ca="1">IF(D27+Z27&lt;0.000001,0,IF(D27&lt;0.000001,F26,IF(OR(AE27=1,AND(K26&gt;0,入力設定!$B$8="返済額軽減型",入力設定!$B$11="翌月")),IF(C27=0,D27/MAX(1,E27),D27*(C27/12)/(1-(1+C27/12)^(-MAX(1,E27)))),F26)))</f>
        <v>100604.4016546396</v>
      </c>
      <c r="G27" s="70">
        <f t="shared" ca="1" si="0"/>
        <v>100604.4016546396</v>
      </c>
      <c r="H27" s="70">
        <f t="shared" ca="1" si="1"/>
        <v>31037.312208290925</v>
      </c>
      <c r="I27" s="70">
        <f t="shared" ca="1" si="2"/>
        <v>69567.089446348677</v>
      </c>
      <c r="J27" s="70">
        <f>SUMIFS(入力設定!$G$5:$G$24,入力設定!$F$5:$F$24,A27)</f>
        <v>0</v>
      </c>
      <c r="K27" s="70">
        <f t="shared" ca="1" si="3"/>
        <v>0</v>
      </c>
      <c r="L27" s="70">
        <f ca="1">IF(K27&gt;0,入力設定!$B$9,0)</f>
        <v>0</v>
      </c>
      <c r="M27" s="70">
        <f t="shared" ca="1" si="4"/>
        <v>33484283.946543839</v>
      </c>
      <c r="N27" s="70">
        <f ca="1">IF(M27+AA27&lt;0.000001,0,IF(AND(K27&gt;0,入力設定!$B$8="期間短縮型",AA27&lt;0.000001,F27&gt;M27*C27/12),MAX(1,MIN(E27-1,IF(C27=0,ROUNDUP(M27/F27,0),ROUNDUP(-LN(1-M27*(C27/12)/F27)/LN(1+C27/12),0)))),MAX(1,E27-1)))</f>
        <v>398</v>
      </c>
      <c r="O27" s="70">
        <f t="shared" ca="1" si="5"/>
        <v>100604.4016546396</v>
      </c>
      <c r="P27" s="70">
        <f t="shared" ca="1" si="19"/>
        <v>33553851.035990186</v>
      </c>
      <c r="Q27" s="70">
        <f ca="1">IF(OR(A27&gt;入力設定!$B$6*12,P27+AC27&lt;0.000001),0,IF(P27&lt;0.000001,Q26,IF(AE27=1,IF(C27=0,P27/MAX(1,入力設定!$B$6*12-A27+1),P27*(C27/12)/(1-(1+C27/12)^(-MAX(1,入力設定!$B$6*12-A27+1)))),Q26)))</f>
        <v>100604.4016546396</v>
      </c>
      <c r="R27" s="70">
        <f ca="1">IF(P27+AC27&lt;0.000001,0,IF(A27=入力設定!$B$6*12,P27+AB27+AC27,MIN(Q27,P27+AB27+AC27)))</f>
        <v>100604.4016546396</v>
      </c>
      <c r="S27" s="70">
        <f t="shared" ca="1" si="6"/>
        <v>31037.312208290925</v>
      </c>
      <c r="T27" s="70">
        <f t="shared" ca="1" si="7"/>
        <v>69567.089446348677</v>
      </c>
      <c r="U27" s="70">
        <f t="shared" ca="1" si="8"/>
        <v>33484283.946543839</v>
      </c>
      <c r="V27" s="70">
        <f t="shared" ca="1" si="9"/>
        <v>0</v>
      </c>
      <c r="W27" s="70">
        <f t="shared" ca="1" si="10"/>
        <v>0</v>
      </c>
      <c r="X27" s="70">
        <f t="shared" ca="1" si="11"/>
        <v>0</v>
      </c>
      <c r="Y27" s="71">
        <f t="shared" ca="1" si="12"/>
        <v>31037.312208290925</v>
      </c>
      <c r="Z27" s="71">
        <f t="shared" ca="1" si="20"/>
        <v>0</v>
      </c>
      <c r="AA27" s="71">
        <f t="shared" ca="1" si="13"/>
        <v>0</v>
      </c>
      <c r="AB27" s="71">
        <f t="shared" ca="1" si="14"/>
        <v>31037.312208290925</v>
      </c>
      <c r="AC27" s="71">
        <f t="shared" ca="1" si="21"/>
        <v>0</v>
      </c>
      <c r="AD27" s="71">
        <f t="shared" ca="1" si="15"/>
        <v>0</v>
      </c>
      <c r="AE27" s="72">
        <f t="shared" si="16"/>
        <v>0</v>
      </c>
      <c r="AF27" s="73">
        <f>IF(A27&gt;入力設定!$B$6*12,0,IF(AND(ISNUMBER(C27),C27&gt;=0,C27&lt;=1),0,1))</f>
        <v>0</v>
      </c>
    </row>
    <row r="28" spans="1:32" ht="21" customHeight="1">
      <c r="A28" s="68">
        <f>23</f>
        <v>23</v>
      </c>
      <c r="B28" s="69">
        <f>EDATE(入力設定!$B$7,A28-1)</f>
        <v>46997</v>
      </c>
      <c r="C28" s="80">
        <f>INDEX(入力設定!$C$15:$C$24,INT((A28-1)/60)+1)</f>
        <v>1.11E-2</v>
      </c>
      <c r="D28" s="70">
        <f t="shared" ca="1" si="17"/>
        <v>33484283.946543839</v>
      </c>
      <c r="E28" s="70">
        <f t="shared" ca="1" si="18"/>
        <v>398</v>
      </c>
      <c r="F28" s="70">
        <f ca="1">IF(D28+Z28&lt;0.000001,0,IF(D28&lt;0.000001,F27,IF(OR(AE28=1,AND(K27&gt;0,入力設定!$B$8="返済額軽減型",入力設定!$B$11="翌月")),IF(C28=0,D28/MAX(1,E28),D28*(C28/12)/(1-(1+C28/12)^(-MAX(1,E28)))),F27)))</f>
        <v>100604.4016546396</v>
      </c>
      <c r="G28" s="70">
        <f t="shared" ca="1" si="0"/>
        <v>100604.4016546396</v>
      </c>
      <c r="H28" s="70">
        <f t="shared" ca="1" si="1"/>
        <v>30972.96265055305</v>
      </c>
      <c r="I28" s="70">
        <f t="shared" ca="1" si="2"/>
        <v>69631.439004086555</v>
      </c>
      <c r="J28" s="70">
        <f>SUMIFS(入力設定!$G$5:$G$24,入力設定!$F$5:$F$24,A28)</f>
        <v>0</v>
      </c>
      <c r="K28" s="70">
        <f t="shared" ca="1" si="3"/>
        <v>0</v>
      </c>
      <c r="L28" s="70">
        <f ca="1">IF(K28&gt;0,入力設定!$B$9,0)</f>
        <v>0</v>
      </c>
      <c r="M28" s="70">
        <f t="shared" ca="1" si="4"/>
        <v>33414652.507539753</v>
      </c>
      <c r="N28" s="70">
        <f ca="1">IF(M28+AA28&lt;0.000001,0,IF(AND(K28&gt;0,入力設定!$B$8="期間短縮型",AA28&lt;0.000001,F28&gt;M28*C28/12),MAX(1,MIN(E28-1,IF(C28=0,ROUNDUP(M28/F28,0),ROUNDUP(-LN(1-M28*(C28/12)/F28)/LN(1+C28/12),0)))),MAX(1,E28-1)))</f>
        <v>397</v>
      </c>
      <c r="O28" s="70">
        <f t="shared" ca="1" si="5"/>
        <v>100604.4016546396</v>
      </c>
      <c r="P28" s="70">
        <f t="shared" ca="1" si="19"/>
        <v>33484283.946543839</v>
      </c>
      <c r="Q28" s="70">
        <f ca="1">IF(OR(A28&gt;入力設定!$B$6*12,P28+AC28&lt;0.000001),0,IF(P28&lt;0.000001,Q27,IF(AE28=1,IF(C28=0,P28/MAX(1,入力設定!$B$6*12-A28+1),P28*(C28/12)/(1-(1+C28/12)^(-MAX(1,入力設定!$B$6*12-A28+1)))),Q27)))</f>
        <v>100604.4016546396</v>
      </c>
      <c r="R28" s="70">
        <f ca="1">IF(P28+AC28&lt;0.000001,0,IF(A28=入力設定!$B$6*12,P28+AB28+AC28,MIN(Q28,P28+AB28+AC28)))</f>
        <v>100604.4016546396</v>
      </c>
      <c r="S28" s="70">
        <f t="shared" ca="1" si="6"/>
        <v>30972.96265055305</v>
      </c>
      <c r="T28" s="70">
        <f t="shared" ca="1" si="7"/>
        <v>69631.439004086555</v>
      </c>
      <c r="U28" s="70">
        <f t="shared" ca="1" si="8"/>
        <v>33414652.507539753</v>
      </c>
      <c r="V28" s="70">
        <f t="shared" ca="1" si="9"/>
        <v>0</v>
      </c>
      <c r="W28" s="70">
        <f t="shared" ca="1" si="10"/>
        <v>0</v>
      </c>
      <c r="X28" s="70">
        <f t="shared" ca="1" si="11"/>
        <v>0</v>
      </c>
      <c r="Y28" s="71">
        <f t="shared" ca="1" si="12"/>
        <v>30972.96265055305</v>
      </c>
      <c r="Z28" s="71">
        <f t="shared" ca="1" si="20"/>
        <v>0</v>
      </c>
      <c r="AA28" s="71">
        <f t="shared" ca="1" si="13"/>
        <v>0</v>
      </c>
      <c r="AB28" s="71">
        <f t="shared" ca="1" si="14"/>
        <v>30972.96265055305</v>
      </c>
      <c r="AC28" s="71">
        <f t="shared" ca="1" si="21"/>
        <v>0</v>
      </c>
      <c r="AD28" s="71">
        <f t="shared" ca="1" si="15"/>
        <v>0</v>
      </c>
      <c r="AE28" s="72">
        <f t="shared" si="16"/>
        <v>0</v>
      </c>
      <c r="AF28" s="73">
        <f>IF(A28&gt;入力設定!$B$6*12,0,IF(AND(ISNUMBER(C28),C28&gt;=0,C28&lt;=1),0,1))</f>
        <v>0</v>
      </c>
    </row>
    <row r="29" spans="1:32" ht="21" customHeight="1">
      <c r="A29" s="68">
        <f>24</f>
        <v>24</v>
      </c>
      <c r="B29" s="69">
        <f>EDATE(入力設定!$B$7,A29-1)</f>
        <v>47027</v>
      </c>
      <c r="C29" s="80">
        <f>INDEX(入力設定!$C$15:$C$24,INT((A29-1)/60)+1)</f>
        <v>1.11E-2</v>
      </c>
      <c r="D29" s="70">
        <f t="shared" ca="1" si="17"/>
        <v>33414652.507539753</v>
      </c>
      <c r="E29" s="70">
        <f t="shared" ca="1" si="18"/>
        <v>397</v>
      </c>
      <c r="F29" s="70">
        <f ca="1">IF(D29+Z29&lt;0.000001,0,IF(D29&lt;0.000001,F28,IF(OR(AE29=1,AND(K28&gt;0,入力設定!$B$8="返済額軽減型",入力設定!$B$11="翌月")),IF(C29=0,D29/MAX(1,E29),D29*(C29/12)/(1-(1+C29/12)^(-MAX(1,E29)))),F28)))</f>
        <v>100604.4016546396</v>
      </c>
      <c r="G29" s="70">
        <f t="shared" ca="1" si="0"/>
        <v>100604.4016546396</v>
      </c>
      <c r="H29" s="70">
        <f t="shared" ca="1" si="1"/>
        <v>30908.553569474272</v>
      </c>
      <c r="I29" s="70">
        <f t="shared" ca="1" si="2"/>
        <v>69695.848085165329</v>
      </c>
      <c r="J29" s="70">
        <f>SUMIFS(入力設定!$G$5:$G$24,入力設定!$F$5:$F$24,A29)</f>
        <v>0</v>
      </c>
      <c r="K29" s="70">
        <f t="shared" ca="1" si="3"/>
        <v>0</v>
      </c>
      <c r="L29" s="70">
        <f ca="1">IF(K29&gt;0,入力設定!$B$9,0)</f>
        <v>0</v>
      </c>
      <c r="M29" s="70">
        <f t="shared" ca="1" si="4"/>
        <v>33344956.659454588</v>
      </c>
      <c r="N29" s="70">
        <f ca="1">IF(M29+AA29&lt;0.000001,0,IF(AND(K29&gt;0,入力設定!$B$8="期間短縮型",AA29&lt;0.000001,F29&gt;M29*C29/12),MAX(1,MIN(E29-1,IF(C29=0,ROUNDUP(M29/F29,0),ROUNDUP(-LN(1-M29*(C29/12)/F29)/LN(1+C29/12),0)))),MAX(1,E29-1)))</f>
        <v>396</v>
      </c>
      <c r="O29" s="70">
        <f t="shared" ca="1" si="5"/>
        <v>100604.4016546396</v>
      </c>
      <c r="P29" s="70">
        <f t="shared" ca="1" si="19"/>
        <v>33414652.507539753</v>
      </c>
      <c r="Q29" s="70">
        <f ca="1">IF(OR(A29&gt;入力設定!$B$6*12,P29+AC29&lt;0.000001),0,IF(P29&lt;0.000001,Q28,IF(AE29=1,IF(C29=0,P29/MAX(1,入力設定!$B$6*12-A29+1),P29*(C29/12)/(1-(1+C29/12)^(-MAX(1,入力設定!$B$6*12-A29+1)))),Q28)))</f>
        <v>100604.4016546396</v>
      </c>
      <c r="R29" s="70">
        <f ca="1">IF(P29+AC29&lt;0.000001,0,IF(A29=入力設定!$B$6*12,P29+AB29+AC29,MIN(Q29,P29+AB29+AC29)))</f>
        <v>100604.4016546396</v>
      </c>
      <c r="S29" s="70">
        <f t="shared" ca="1" si="6"/>
        <v>30908.553569474272</v>
      </c>
      <c r="T29" s="70">
        <f t="shared" ca="1" si="7"/>
        <v>69695.848085165329</v>
      </c>
      <c r="U29" s="70">
        <f t="shared" ca="1" si="8"/>
        <v>33344956.659454588</v>
      </c>
      <c r="V29" s="70">
        <f t="shared" ca="1" si="9"/>
        <v>0</v>
      </c>
      <c r="W29" s="70">
        <f t="shared" ca="1" si="10"/>
        <v>0</v>
      </c>
      <c r="X29" s="70">
        <f t="shared" ca="1" si="11"/>
        <v>0</v>
      </c>
      <c r="Y29" s="71">
        <f t="shared" ca="1" si="12"/>
        <v>30908.553569474272</v>
      </c>
      <c r="Z29" s="71">
        <f t="shared" ca="1" si="20"/>
        <v>0</v>
      </c>
      <c r="AA29" s="71">
        <f t="shared" ca="1" si="13"/>
        <v>0</v>
      </c>
      <c r="AB29" s="71">
        <f t="shared" ca="1" si="14"/>
        <v>30908.553569474272</v>
      </c>
      <c r="AC29" s="71">
        <f t="shared" ca="1" si="21"/>
        <v>0</v>
      </c>
      <c r="AD29" s="71">
        <f t="shared" ca="1" si="15"/>
        <v>0</v>
      </c>
      <c r="AE29" s="72">
        <f t="shared" si="16"/>
        <v>0</v>
      </c>
      <c r="AF29" s="73">
        <f>IF(A29&gt;入力設定!$B$6*12,0,IF(AND(ISNUMBER(C29),C29&gt;=0,C29&lt;=1),0,1))</f>
        <v>0</v>
      </c>
    </row>
    <row r="30" spans="1:32" ht="21" customHeight="1">
      <c r="A30" s="68">
        <f>25</f>
        <v>25</v>
      </c>
      <c r="B30" s="69">
        <f>EDATE(入力設定!$B$7,A30-1)</f>
        <v>47058</v>
      </c>
      <c r="C30" s="80">
        <f>INDEX(入力設定!$C$15:$C$24,INT((A30-1)/60)+1)</f>
        <v>1.11E-2</v>
      </c>
      <c r="D30" s="70">
        <f t="shared" ca="1" si="17"/>
        <v>33344956.659454588</v>
      </c>
      <c r="E30" s="70">
        <f t="shared" ca="1" si="18"/>
        <v>396</v>
      </c>
      <c r="F30" s="70">
        <f ca="1">IF(D30+Z30&lt;0.000001,0,IF(D30&lt;0.000001,F29,IF(OR(AE30=1,AND(K29&gt;0,入力設定!$B$8="返済額軽減型",入力設定!$B$11="翌月")),IF(C30=0,D30/MAX(1,E30),D30*(C30/12)/(1-(1+C30/12)^(-MAX(1,E30)))),F29)))</f>
        <v>100604.4016546396</v>
      </c>
      <c r="G30" s="70">
        <f t="shared" ca="1" si="0"/>
        <v>100604.4016546396</v>
      </c>
      <c r="H30" s="70">
        <f t="shared" ca="1" si="1"/>
        <v>30844.084909995494</v>
      </c>
      <c r="I30" s="70">
        <f t="shared" ca="1" si="2"/>
        <v>69760.316744644108</v>
      </c>
      <c r="J30" s="70">
        <f>SUMIFS(入力設定!$G$5:$G$24,入力設定!$F$5:$F$24,A30)</f>
        <v>0</v>
      </c>
      <c r="K30" s="70">
        <f t="shared" ca="1" si="3"/>
        <v>0</v>
      </c>
      <c r="L30" s="70">
        <f ca="1">IF(K30&gt;0,入力設定!$B$9,0)</f>
        <v>0</v>
      </c>
      <c r="M30" s="70">
        <f t="shared" ca="1" si="4"/>
        <v>33275196.342709944</v>
      </c>
      <c r="N30" s="70">
        <f ca="1">IF(M30+AA30&lt;0.000001,0,IF(AND(K30&gt;0,入力設定!$B$8="期間短縮型",AA30&lt;0.000001,F30&gt;M30*C30/12),MAX(1,MIN(E30-1,IF(C30=0,ROUNDUP(M30/F30,0),ROUNDUP(-LN(1-M30*(C30/12)/F30)/LN(1+C30/12),0)))),MAX(1,E30-1)))</f>
        <v>395</v>
      </c>
      <c r="O30" s="70">
        <f t="shared" ca="1" si="5"/>
        <v>100604.4016546396</v>
      </c>
      <c r="P30" s="70">
        <f t="shared" ca="1" si="19"/>
        <v>33344956.659454588</v>
      </c>
      <c r="Q30" s="70">
        <f ca="1">IF(OR(A30&gt;入力設定!$B$6*12,P30+AC30&lt;0.000001),0,IF(P30&lt;0.000001,Q29,IF(AE30=1,IF(C30=0,P30/MAX(1,入力設定!$B$6*12-A30+1),P30*(C30/12)/(1-(1+C30/12)^(-MAX(1,入力設定!$B$6*12-A30+1)))),Q29)))</f>
        <v>100604.4016546396</v>
      </c>
      <c r="R30" s="70">
        <f ca="1">IF(P30+AC30&lt;0.000001,0,IF(A30=入力設定!$B$6*12,P30+AB30+AC30,MIN(Q30,P30+AB30+AC30)))</f>
        <v>100604.4016546396</v>
      </c>
      <c r="S30" s="70">
        <f t="shared" ca="1" si="6"/>
        <v>30844.084909995494</v>
      </c>
      <c r="T30" s="70">
        <f t="shared" ca="1" si="7"/>
        <v>69760.316744644108</v>
      </c>
      <c r="U30" s="70">
        <f t="shared" ca="1" si="8"/>
        <v>33275196.342709944</v>
      </c>
      <c r="V30" s="70">
        <f t="shared" ca="1" si="9"/>
        <v>0</v>
      </c>
      <c r="W30" s="70">
        <f t="shared" ca="1" si="10"/>
        <v>0</v>
      </c>
      <c r="X30" s="70">
        <f t="shared" ca="1" si="11"/>
        <v>0</v>
      </c>
      <c r="Y30" s="71">
        <f t="shared" ca="1" si="12"/>
        <v>30844.084909995494</v>
      </c>
      <c r="Z30" s="71">
        <f t="shared" ca="1" si="20"/>
        <v>0</v>
      </c>
      <c r="AA30" s="71">
        <f t="shared" ca="1" si="13"/>
        <v>0</v>
      </c>
      <c r="AB30" s="71">
        <f t="shared" ca="1" si="14"/>
        <v>30844.084909995494</v>
      </c>
      <c r="AC30" s="71">
        <f t="shared" ca="1" si="21"/>
        <v>0</v>
      </c>
      <c r="AD30" s="71">
        <f t="shared" ca="1" si="15"/>
        <v>0</v>
      </c>
      <c r="AE30" s="72">
        <f t="shared" si="16"/>
        <v>0</v>
      </c>
      <c r="AF30" s="73">
        <f>IF(A30&gt;入力設定!$B$6*12,0,IF(AND(ISNUMBER(C30),C30&gt;=0,C30&lt;=1),0,1))</f>
        <v>0</v>
      </c>
    </row>
    <row r="31" spans="1:32" ht="21" customHeight="1">
      <c r="A31" s="68">
        <f>26</f>
        <v>26</v>
      </c>
      <c r="B31" s="69">
        <f>EDATE(入力設定!$B$7,A31-1)</f>
        <v>47088</v>
      </c>
      <c r="C31" s="80">
        <f>INDEX(入力設定!$C$15:$C$24,INT((A31-1)/60)+1)</f>
        <v>1.11E-2</v>
      </c>
      <c r="D31" s="70">
        <f t="shared" ca="1" si="17"/>
        <v>33275196.342709944</v>
      </c>
      <c r="E31" s="70">
        <f t="shared" ca="1" si="18"/>
        <v>395</v>
      </c>
      <c r="F31" s="70">
        <f ca="1">IF(D31+Z31&lt;0.000001,0,IF(D31&lt;0.000001,F30,IF(OR(AE31=1,AND(K30&gt;0,入力設定!$B$8="返済額軽減型",入力設定!$B$11="翌月")),IF(C31=0,D31/MAX(1,E31),D31*(C31/12)/(1-(1+C31/12)^(-MAX(1,E31)))),F30)))</f>
        <v>100604.4016546396</v>
      </c>
      <c r="G31" s="70">
        <f t="shared" ca="1" si="0"/>
        <v>100604.4016546396</v>
      </c>
      <c r="H31" s="70">
        <f t="shared" ca="1" si="1"/>
        <v>30779.5566170067</v>
      </c>
      <c r="I31" s="70">
        <f t="shared" ca="1" si="2"/>
        <v>69824.845037632898</v>
      </c>
      <c r="J31" s="70">
        <f>SUMIFS(入力設定!$G$5:$G$24,入力設定!$F$5:$F$24,A31)</f>
        <v>0</v>
      </c>
      <c r="K31" s="70">
        <f t="shared" ca="1" si="3"/>
        <v>0</v>
      </c>
      <c r="L31" s="70">
        <f ca="1">IF(K31&gt;0,入力設定!$B$9,0)</f>
        <v>0</v>
      </c>
      <c r="M31" s="70">
        <f t="shared" ca="1" si="4"/>
        <v>33205371.497672312</v>
      </c>
      <c r="N31" s="70">
        <f ca="1">IF(M31+AA31&lt;0.000001,0,IF(AND(K31&gt;0,入力設定!$B$8="期間短縮型",AA31&lt;0.000001,F31&gt;M31*C31/12),MAX(1,MIN(E31-1,IF(C31=0,ROUNDUP(M31/F31,0),ROUNDUP(-LN(1-M31*(C31/12)/F31)/LN(1+C31/12),0)))),MAX(1,E31-1)))</f>
        <v>394</v>
      </c>
      <c r="O31" s="70">
        <f t="shared" ca="1" si="5"/>
        <v>100604.4016546396</v>
      </c>
      <c r="P31" s="70">
        <f t="shared" ca="1" si="19"/>
        <v>33275196.342709944</v>
      </c>
      <c r="Q31" s="70">
        <f ca="1">IF(OR(A31&gt;入力設定!$B$6*12,P31+AC31&lt;0.000001),0,IF(P31&lt;0.000001,Q30,IF(AE31=1,IF(C31=0,P31/MAX(1,入力設定!$B$6*12-A31+1),P31*(C31/12)/(1-(1+C31/12)^(-MAX(1,入力設定!$B$6*12-A31+1)))),Q30)))</f>
        <v>100604.4016546396</v>
      </c>
      <c r="R31" s="70">
        <f ca="1">IF(P31+AC31&lt;0.000001,0,IF(A31=入力設定!$B$6*12,P31+AB31+AC31,MIN(Q31,P31+AB31+AC31)))</f>
        <v>100604.4016546396</v>
      </c>
      <c r="S31" s="70">
        <f t="shared" ca="1" si="6"/>
        <v>30779.5566170067</v>
      </c>
      <c r="T31" s="70">
        <f t="shared" ca="1" si="7"/>
        <v>69824.845037632898</v>
      </c>
      <c r="U31" s="70">
        <f t="shared" ca="1" si="8"/>
        <v>33205371.497672312</v>
      </c>
      <c r="V31" s="70">
        <f t="shared" ca="1" si="9"/>
        <v>0</v>
      </c>
      <c r="W31" s="70">
        <f t="shared" ca="1" si="10"/>
        <v>0</v>
      </c>
      <c r="X31" s="70">
        <f t="shared" ca="1" si="11"/>
        <v>0</v>
      </c>
      <c r="Y31" s="71">
        <f t="shared" ca="1" si="12"/>
        <v>30779.5566170067</v>
      </c>
      <c r="Z31" s="71">
        <f t="shared" ca="1" si="20"/>
        <v>0</v>
      </c>
      <c r="AA31" s="71">
        <f t="shared" ca="1" si="13"/>
        <v>0</v>
      </c>
      <c r="AB31" s="71">
        <f t="shared" ca="1" si="14"/>
        <v>30779.5566170067</v>
      </c>
      <c r="AC31" s="71">
        <f t="shared" ca="1" si="21"/>
        <v>0</v>
      </c>
      <c r="AD31" s="71">
        <f t="shared" ca="1" si="15"/>
        <v>0</v>
      </c>
      <c r="AE31" s="72">
        <f t="shared" si="16"/>
        <v>0</v>
      </c>
      <c r="AF31" s="73">
        <f>IF(A31&gt;入力設定!$B$6*12,0,IF(AND(ISNUMBER(C31),C31&gt;=0,C31&lt;=1),0,1))</f>
        <v>0</v>
      </c>
    </row>
    <row r="32" spans="1:32" ht="21" customHeight="1">
      <c r="A32" s="68">
        <f>27</f>
        <v>27</v>
      </c>
      <c r="B32" s="69">
        <f>EDATE(入力設定!$B$7,A32-1)</f>
        <v>47119</v>
      </c>
      <c r="C32" s="80">
        <f>INDEX(入力設定!$C$15:$C$24,INT((A32-1)/60)+1)</f>
        <v>1.11E-2</v>
      </c>
      <c r="D32" s="70">
        <f t="shared" ca="1" si="17"/>
        <v>33205371.497672312</v>
      </c>
      <c r="E32" s="70">
        <f t="shared" ca="1" si="18"/>
        <v>394</v>
      </c>
      <c r="F32" s="70">
        <f ca="1">IF(D32+Z32&lt;0.000001,0,IF(D32&lt;0.000001,F31,IF(OR(AE32=1,AND(K31&gt;0,入力設定!$B$8="返済額軽減型",入力設定!$B$11="翌月")),IF(C32=0,D32/MAX(1,E32),D32*(C32/12)/(1-(1+C32/12)^(-MAX(1,E32)))),F31)))</f>
        <v>100604.4016546396</v>
      </c>
      <c r="G32" s="70">
        <f t="shared" ca="1" si="0"/>
        <v>100604.4016546396</v>
      </c>
      <c r="H32" s="70">
        <f t="shared" ca="1" si="1"/>
        <v>30714.96863534689</v>
      </c>
      <c r="I32" s="70">
        <f t="shared" ca="1" si="2"/>
        <v>69889.433019292715</v>
      </c>
      <c r="J32" s="70">
        <f>SUMIFS(入力設定!$G$5:$G$24,入力設定!$F$5:$F$24,A32)</f>
        <v>0</v>
      </c>
      <c r="K32" s="70">
        <f t="shared" ca="1" si="3"/>
        <v>0</v>
      </c>
      <c r="L32" s="70">
        <f ca="1">IF(K32&gt;0,入力設定!$B$9,0)</f>
        <v>0</v>
      </c>
      <c r="M32" s="70">
        <f t="shared" ca="1" si="4"/>
        <v>33135482.06465302</v>
      </c>
      <c r="N32" s="70">
        <f ca="1">IF(M32+AA32&lt;0.000001,0,IF(AND(K32&gt;0,入力設定!$B$8="期間短縮型",AA32&lt;0.000001,F32&gt;M32*C32/12),MAX(1,MIN(E32-1,IF(C32=0,ROUNDUP(M32/F32,0),ROUNDUP(-LN(1-M32*(C32/12)/F32)/LN(1+C32/12),0)))),MAX(1,E32-1)))</f>
        <v>393</v>
      </c>
      <c r="O32" s="70">
        <f t="shared" ca="1" si="5"/>
        <v>100604.4016546396</v>
      </c>
      <c r="P32" s="70">
        <f t="shared" ca="1" si="19"/>
        <v>33205371.497672312</v>
      </c>
      <c r="Q32" s="70">
        <f ca="1">IF(OR(A32&gt;入力設定!$B$6*12,P32+AC32&lt;0.000001),0,IF(P32&lt;0.000001,Q31,IF(AE32=1,IF(C32=0,P32/MAX(1,入力設定!$B$6*12-A32+1),P32*(C32/12)/(1-(1+C32/12)^(-MAX(1,入力設定!$B$6*12-A32+1)))),Q31)))</f>
        <v>100604.4016546396</v>
      </c>
      <c r="R32" s="70">
        <f ca="1">IF(P32+AC32&lt;0.000001,0,IF(A32=入力設定!$B$6*12,P32+AB32+AC32,MIN(Q32,P32+AB32+AC32)))</f>
        <v>100604.4016546396</v>
      </c>
      <c r="S32" s="70">
        <f t="shared" ca="1" si="6"/>
        <v>30714.96863534689</v>
      </c>
      <c r="T32" s="70">
        <f t="shared" ca="1" si="7"/>
        <v>69889.433019292715</v>
      </c>
      <c r="U32" s="70">
        <f t="shared" ca="1" si="8"/>
        <v>33135482.06465302</v>
      </c>
      <c r="V32" s="70">
        <f t="shared" ca="1" si="9"/>
        <v>0</v>
      </c>
      <c r="W32" s="70">
        <f t="shared" ca="1" si="10"/>
        <v>0</v>
      </c>
      <c r="X32" s="70">
        <f t="shared" ca="1" si="11"/>
        <v>0</v>
      </c>
      <c r="Y32" s="71">
        <f t="shared" ca="1" si="12"/>
        <v>30714.96863534689</v>
      </c>
      <c r="Z32" s="71">
        <f t="shared" ca="1" si="20"/>
        <v>0</v>
      </c>
      <c r="AA32" s="71">
        <f t="shared" ca="1" si="13"/>
        <v>0</v>
      </c>
      <c r="AB32" s="71">
        <f t="shared" ca="1" si="14"/>
        <v>30714.96863534689</v>
      </c>
      <c r="AC32" s="71">
        <f t="shared" ca="1" si="21"/>
        <v>0</v>
      </c>
      <c r="AD32" s="71">
        <f t="shared" ca="1" si="15"/>
        <v>0</v>
      </c>
      <c r="AE32" s="72">
        <f t="shared" si="16"/>
        <v>0</v>
      </c>
      <c r="AF32" s="73">
        <f>IF(A32&gt;入力設定!$B$6*12,0,IF(AND(ISNUMBER(C32),C32&gt;=0,C32&lt;=1),0,1))</f>
        <v>0</v>
      </c>
    </row>
    <row r="33" spans="1:32" ht="21" customHeight="1">
      <c r="A33" s="68">
        <f>28</f>
        <v>28</v>
      </c>
      <c r="B33" s="69">
        <f>EDATE(入力設定!$B$7,A33-1)</f>
        <v>47150</v>
      </c>
      <c r="C33" s="80">
        <f>INDEX(入力設定!$C$15:$C$24,INT((A33-1)/60)+1)</f>
        <v>1.11E-2</v>
      </c>
      <c r="D33" s="70">
        <f t="shared" ca="1" si="17"/>
        <v>33135482.06465302</v>
      </c>
      <c r="E33" s="70">
        <f t="shared" ca="1" si="18"/>
        <v>393</v>
      </c>
      <c r="F33" s="70">
        <f ca="1">IF(D33+Z33&lt;0.000001,0,IF(D33&lt;0.000001,F32,IF(OR(AE33=1,AND(K32&gt;0,入力設定!$B$8="返済額軽減型",入力設定!$B$11="翌月")),IF(C33=0,D33/MAX(1,E33),D33*(C33/12)/(1-(1+C33/12)^(-MAX(1,E33)))),F32)))</f>
        <v>100604.4016546396</v>
      </c>
      <c r="G33" s="70">
        <f t="shared" ca="1" si="0"/>
        <v>100604.4016546396</v>
      </c>
      <c r="H33" s="70">
        <f t="shared" ca="1" si="1"/>
        <v>30650.320909804042</v>
      </c>
      <c r="I33" s="70">
        <f t="shared" ca="1" si="2"/>
        <v>69954.080744835563</v>
      </c>
      <c r="J33" s="70">
        <f>SUMIFS(入力設定!$G$5:$G$24,入力設定!$F$5:$F$24,A33)</f>
        <v>0</v>
      </c>
      <c r="K33" s="70">
        <f t="shared" ca="1" si="3"/>
        <v>0</v>
      </c>
      <c r="L33" s="70">
        <f ca="1">IF(K33&gt;0,入力設定!$B$9,0)</f>
        <v>0</v>
      </c>
      <c r="M33" s="70">
        <f t="shared" ca="1" si="4"/>
        <v>33065527.983908184</v>
      </c>
      <c r="N33" s="70">
        <f ca="1">IF(M33+AA33&lt;0.000001,0,IF(AND(K33&gt;0,入力設定!$B$8="期間短縮型",AA33&lt;0.000001,F33&gt;M33*C33/12),MAX(1,MIN(E33-1,IF(C33=0,ROUNDUP(M33/F33,0),ROUNDUP(-LN(1-M33*(C33/12)/F33)/LN(1+C33/12),0)))),MAX(1,E33-1)))</f>
        <v>392</v>
      </c>
      <c r="O33" s="70">
        <f t="shared" ca="1" si="5"/>
        <v>100604.4016546396</v>
      </c>
      <c r="P33" s="70">
        <f t="shared" ca="1" si="19"/>
        <v>33135482.06465302</v>
      </c>
      <c r="Q33" s="70">
        <f ca="1">IF(OR(A33&gt;入力設定!$B$6*12,P33+AC33&lt;0.000001),0,IF(P33&lt;0.000001,Q32,IF(AE33=1,IF(C33=0,P33/MAX(1,入力設定!$B$6*12-A33+1),P33*(C33/12)/(1-(1+C33/12)^(-MAX(1,入力設定!$B$6*12-A33+1)))),Q32)))</f>
        <v>100604.4016546396</v>
      </c>
      <c r="R33" s="70">
        <f ca="1">IF(P33+AC33&lt;0.000001,0,IF(A33=入力設定!$B$6*12,P33+AB33+AC33,MIN(Q33,P33+AB33+AC33)))</f>
        <v>100604.4016546396</v>
      </c>
      <c r="S33" s="70">
        <f t="shared" ca="1" si="6"/>
        <v>30650.320909804042</v>
      </c>
      <c r="T33" s="70">
        <f t="shared" ca="1" si="7"/>
        <v>69954.080744835563</v>
      </c>
      <c r="U33" s="70">
        <f t="shared" ca="1" si="8"/>
        <v>33065527.983908184</v>
      </c>
      <c r="V33" s="70">
        <f t="shared" ca="1" si="9"/>
        <v>0</v>
      </c>
      <c r="W33" s="70">
        <f t="shared" ca="1" si="10"/>
        <v>0</v>
      </c>
      <c r="X33" s="70">
        <f t="shared" ca="1" si="11"/>
        <v>0</v>
      </c>
      <c r="Y33" s="71">
        <f t="shared" ca="1" si="12"/>
        <v>30650.320909804042</v>
      </c>
      <c r="Z33" s="71">
        <f t="shared" ca="1" si="20"/>
        <v>0</v>
      </c>
      <c r="AA33" s="71">
        <f t="shared" ca="1" si="13"/>
        <v>0</v>
      </c>
      <c r="AB33" s="71">
        <f t="shared" ca="1" si="14"/>
        <v>30650.320909804042</v>
      </c>
      <c r="AC33" s="71">
        <f t="shared" ca="1" si="21"/>
        <v>0</v>
      </c>
      <c r="AD33" s="71">
        <f t="shared" ca="1" si="15"/>
        <v>0</v>
      </c>
      <c r="AE33" s="72">
        <f t="shared" si="16"/>
        <v>0</v>
      </c>
      <c r="AF33" s="73">
        <f>IF(A33&gt;入力設定!$B$6*12,0,IF(AND(ISNUMBER(C33),C33&gt;=0,C33&lt;=1),0,1))</f>
        <v>0</v>
      </c>
    </row>
    <row r="34" spans="1:32" ht="21" customHeight="1">
      <c r="A34" s="68">
        <f>29</f>
        <v>29</v>
      </c>
      <c r="B34" s="69">
        <f>EDATE(入力設定!$B$7,A34-1)</f>
        <v>47178</v>
      </c>
      <c r="C34" s="80">
        <f>INDEX(入力設定!$C$15:$C$24,INT((A34-1)/60)+1)</f>
        <v>1.11E-2</v>
      </c>
      <c r="D34" s="70">
        <f t="shared" ca="1" si="17"/>
        <v>33065527.983908184</v>
      </c>
      <c r="E34" s="70">
        <f t="shared" ca="1" si="18"/>
        <v>392</v>
      </c>
      <c r="F34" s="70">
        <f ca="1">IF(D34+Z34&lt;0.000001,0,IF(D34&lt;0.000001,F33,IF(OR(AE34=1,AND(K33&gt;0,入力設定!$B$8="返済額軽減型",入力設定!$B$11="翌月")),IF(C34=0,D34/MAX(1,E34),D34*(C34/12)/(1-(1+C34/12)^(-MAX(1,E34)))),F33)))</f>
        <v>100604.4016546396</v>
      </c>
      <c r="G34" s="70">
        <f t="shared" ca="1" si="0"/>
        <v>100604.4016546396</v>
      </c>
      <c r="H34" s="70">
        <f t="shared" ca="1" si="1"/>
        <v>30585.61338511507</v>
      </c>
      <c r="I34" s="70">
        <f t="shared" ca="1" si="2"/>
        <v>70018.788269524535</v>
      </c>
      <c r="J34" s="70">
        <f>SUMIFS(入力設定!$G$5:$G$24,入力設定!$F$5:$F$24,A34)</f>
        <v>0</v>
      </c>
      <c r="K34" s="70">
        <f t="shared" ca="1" si="3"/>
        <v>0</v>
      </c>
      <c r="L34" s="70">
        <f ca="1">IF(K34&gt;0,入力設定!$B$9,0)</f>
        <v>0</v>
      </c>
      <c r="M34" s="70">
        <f t="shared" ca="1" si="4"/>
        <v>32995509.19563866</v>
      </c>
      <c r="N34" s="70">
        <f ca="1">IF(M34+AA34&lt;0.000001,0,IF(AND(K34&gt;0,入力設定!$B$8="期間短縮型",AA34&lt;0.000001,F34&gt;M34*C34/12),MAX(1,MIN(E34-1,IF(C34=0,ROUNDUP(M34/F34,0),ROUNDUP(-LN(1-M34*(C34/12)/F34)/LN(1+C34/12),0)))),MAX(1,E34-1)))</f>
        <v>391</v>
      </c>
      <c r="O34" s="70">
        <f t="shared" ca="1" si="5"/>
        <v>100604.4016546396</v>
      </c>
      <c r="P34" s="70">
        <f t="shared" ca="1" si="19"/>
        <v>33065527.983908184</v>
      </c>
      <c r="Q34" s="70">
        <f ca="1">IF(OR(A34&gt;入力設定!$B$6*12,P34+AC34&lt;0.000001),0,IF(P34&lt;0.000001,Q33,IF(AE34=1,IF(C34=0,P34/MAX(1,入力設定!$B$6*12-A34+1),P34*(C34/12)/(1-(1+C34/12)^(-MAX(1,入力設定!$B$6*12-A34+1)))),Q33)))</f>
        <v>100604.4016546396</v>
      </c>
      <c r="R34" s="70">
        <f ca="1">IF(P34+AC34&lt;0.000001,0,IF(A34=入力設定!$B$6*12,P34+AB34+AC34,MIN(Q34,P34+AB34+AC34)))</f>
        <v>100604.4016546396</v>
      </c>
      <c r="S34" s="70">
        <f t="shared" ca="1" si="6"/>
        <v>30585.61338511507</v>
      </c>
      <c r="T34" s="70">
        <f t="shared" ca="1" si="7"/>
        <v>70018.788269524535</v>
      </c>
      <c r="U34" s="70">
        <f t="shared" ca="1" si="8"/>
        <v>32995509.19563866</v>
      </c>
      <c r="V34" s="70">
        <f t="shared" ca="1" si="9"/>
        <v>0</v>
      </c>
      <c r="W34" s="70">
        <f t="shared" ca="1" si="10"/>
        <v>0</v>
      </c>
      <c r="X34" s="70">
        <f t="shared" ca="1" si="11"/>
        <v>0</v>
      </c>
      <c r="Y34" s="71">
        <f t="shared" ca="1" si="12"/>
        <v>30585.61338511507</v>
      </c>
      <c r="Z34" s="71">
        <f t="shared" ca="1" si="20"/>
        <v>0</v>
      </c>
      <c r="AA34" s="71">
        <f t="shared" ca="1" si="13"/>
        <v>0</v>
      </c>
      <c r="AB34" s="71">
        <f t="shared" ca="1" si="14"/>
        <v>30585.61338511507</v>
      </c>
      <c r="AC34" s="71">
        <f t="shared" ca="1" si="21"/>
        <v>0</v>
      </c>
      <c r="AD34" s="71">
        <f t="shared" ca="1" si="15"/>
        <v>0</v>
      </c>
      <c r="AE34" s="72">
        <f t="shared" si="16"/>
        <v>0</v>
      </c>
      <c r="AF34" s="73">
        <f>IF(A34&gt;入力設定!$B$6*12,0,IF(AND(ISNUMBER(C34),C34&gt;=0,C34&lt;=1),0,1))</f>
        <v>0</v>
      </c>
    </row>
    <row r="35" spans="1:32" ht="21" customHeight="1">
      <c r="A35" s="68">
        <f>30</f>
        <v>30</v>
      </c>
      <c r="B35" s="69">
        <f>EDATE(入力設定!$B$7,A35-1)</f>
        <v>47209</v>
      </c>
      <c r="C35" s="80">
        <f>INDEX(入力設定!$C$15:$C$24,INT((A35-1)/60)+1)</f>
        <v>1.11E-2</v>
      </c>
      <c r="D35" s="70">
        <f t="shared" ca="1" si="17"/>
        <v>32995509.19563866</v>
      </c>
      <c r="E35" s="70">
        <f t="shared" ca="1" si="18"/>
        <v>391</v>
      </c>
      <c r="F35" s="70">
        <f ca="1">IF(D35+Z35&lt;0.000001,0,IF(D35&lt;0.000001,F34,IF(OR(AE35=1,AND(K34&gt;0,入力設定!$B$8="返済額軽減型",入力設定!$B$11="翌月")),IF(C35=0,D35/MAX(1,E35),D35*(C35/12)/(1-(1+C35/12)^(-MAX(1,E35)))),F34)))</f>
        <v>100604.4016546396</v>
      </c>
      <c r="G35" s="70">
        <f t="shared" ca="1" si="0"/>
        <v>100604.4016546396</v>
      </c>
      <c r="H35" s="70">
        <f t="shared" ca="1" si="1"/>
        <v>30520.846005965763</v>
      </c>
      <c r="I35" s="70">
        <f t="shared" ca="1" si="2"/>
        <v>70083.555648673835</v>
      </c>
      <c r="J35" s="70">
        <f>SUMIFS(入力設定!$G$5:$G$24,入力設定!$F$5:$F$24,A35)</f>
        <v>0</v>
      </c>
      <c r="K35" s="70">
        <f t="shared" ca="1" si="3"/>
        <v>0</v>
      </c>
      <c r="L35" s="70">
        <f ca="1">IF(K35&gt;0,入力設定!$B$9,0)</f>
        <v>0</v>
      </c>
      <c r="M35" s="70">
        <f t="shared" ca="1" si="4"/>
        <v>32925425.639989987</v>
      </c>
      <c r="N35" s="70">
        <f ca="1">IF(M35+AA35&lt;0.000001,0,IF(AND(K35&gt;0,入力設定!$B$8="期間短縮型",AA35&lt;0.000001,F35&gt;M35*C35/12),MAX(1,MIN(E35-1,IF(C35=0,ROUNDUP(M35/F35,0),ROUNDUP(-LN(1-M35*(C35/12)/F35)/LN(1+C35/12),0)))),MAX(1,E35-1)))</f>
        <v>390</v>
      </c>
      <c r="O35" s="70">
        <f t="shared" ca="1" si="5"/>
        <v>100604.4016546396</v>
      </c>
      <c r="P35" s="70">
        <f t="shared" ca="1" si="19"/>
        <v>32995509.19563866</v>
      </c>
      <c r="Q35" s="70">
        <f ca="1">IF(OR(A35&gt;入力設定!$B$6*12,P35+AC35&lt;0.000001),0,IF(P35&lt;0.000001,Q34,IF(AE35=1,IF(C35=0,P35/MAX(1,入力設定!$B$6*12-A35+1),P35*(C35/12)/(1-(1+C35/12)^(-MAX(1,入力設定!$B$6*12-A35+1)))),Q34)))</f>
        <v>100604.4016546396</v>
      </c>
      <c r="R35" s="70">
        <f ca="1">IF(P35+AC35&lt;0.000001,0,IF(A35=入力設定!$B$6*12,P35+AB35+AC35,MIN(Q35,P35+AB35+AC35)))</f>
        <v>100604.4016546396</v>
      </c>
      <c r="S35" s="70">
        <f t="shared" ca="1" si="6"/>
        <v>30520.846005965763</v>
      </c>
      <c r="T35" s="70">
        <f t="shared" ca="1" si="7"/>
        <v>70083.555648673835</v>
      </c>
      <c r="U35" s="70">
        <f t="shared" ca="1" si="8"/>
        <v>32925425.639989987</v>
      </c>
      <c r="V35" s="70">
        <f t="shared" ca="1" si="9"/>
        <v>0</v>
      </c>
      <c r="W35" s="70">
        <f t="shared" ca="1" si="10"/>
        <v>0</v>
      </c>
      <c r="X35" s="70">
        <f t="shared" ca="1" si="11"/>
        <v>0</v>
      </c>
      <c r="Y35" s="71">
        <f t="shared" ca="1" si="12"/>
        <v>30520.846005965763</v>
      </c>
      <c r="Z35" s="71">
        <f t="shared" ca="1" si="20"/>
        <v>0</v>
      </c>
      <c r="AA35" s="71">
        <f t="shared" ca="1" si="13"/>
        <v>0</v>
      </c>
      <c r="AB35" s="71">
        <f t="shared" ca="1" si="14"/>
        <v>30520.846005965763</v>
      </c>
      <c r="AC35" s="71">
        <f t="shared" ca="1" si="21"/>
        <v>0</v>
      </c>
      <c r="AD35" s="71">
        <f t="shared" ca="1" si="15"/>
        <v>0</v>
      </c>
      <c r="AE35" s="72">
        <f t="shared" si="16"/>
        <v>0</v>
      </c>
      <c r="AF35" s="73">
        <f>IF(A35&gt;入力設定!$B$6*12,0,IF(AND(ISNUMBER(C35),C35&gt;=0,C35&lt;=1),0,1))</f>
        <v>0</v>
      </c>
    </row>
    <row r="36" spans="1:32" ht="21" customHeight="1">
      <c r="A36" s="68">
        <f>31</f>
        <v>31</v>
      </c>
      <c r="B36" s="69">
        <f>EDATE(入力設定!$B$7,A36-1)</f>
        <v>47239</v>
      </c>
      <c r="C36" s="80">
        <f>INDEX(入力設定!$C$15:$C$24,INT((A36-1)/60)+1)</f>
        <v>1.11E-2</v>
      </c>
      <c r="D36" s="70">
        <f t="shared" ca="1" si="17"/>
        <v>32925425.639989987</v>
      </c>
      <c r="E36" s="70">
        <f t="shared" ca="1" si="18"/>
        <v>390</v>
      </c>
      <c r="F36" s="70">
        <f ca="1">IF(D36+Z36&lt;0.000001,0,IF(D36&lt;0.000001,F35,IF(OR(AE36=1,AND(K35&gt;0,入力設定!$B$8="返済額軽減型",入力設定!$B$11="翌月")),IF(C36=0,D36/MAX(1,E36),D36*(C36/12)/(1-(1+C36/12)^(-MAX(1,E36)))),F35)))</f>
        <v>100604.4016546396</v>
      </c>
      <c r="G36" s="70">
        <f t="shared" ca="1" si="0"/>
        <v>100604.4016546396</v>
      </c>
      <c r="H36" s="70">
        <f t="shared" ca="1" si="1"/>
        <v>30456.01871699074</v>
      </c>
      <c r="I36" s="70">
        <f t="shared" ca="1" si="2"/>
        <v>70148.382937648857</v>
      </c>
      <c r="J36" s="70">
        <f>SUMIFS(入力設定!$G$5:$G$24,入力設定!$F$5:$F$24,A36)</f>
        <v>0</v>
      </c>
      <c r="K36" s="70">
        <f t="shared" ca="1" si="3"/>
        <v>0</v>
      </c>
      <c r="L36" s="70">
        <f ca="1">IF(K36&gt;0,入力設定!$B$9,0)</f>
        <v>0</v>
      </c>
      <c r="M36" s="70">
        <f t="shared" ca="1" si="4"/>
        <v>32855277.25705234</v>
      </c>
      <c r="N36" s="70">
        <f ca="1">IF(M36+AA36&lt;0.000001,0,IF(AND(K36&gt;0,入力設定!$B$8="期間短縮型",AA36&lt;0.000001,F36&gt;M36*C36/12),MAX(1,MIN(E36-1,IF(C36=0,ROUNDUP(M36/F36,0),ROUNDUP(-LN(1-M36*(C36/12)/F36)/LN(1+C36/12),0)))),MAX(1,E36-1)))</f>
        <v>389</v>
      </c>
      <c r="O36" s="70">
        <f t="shared" ca="1" si="5"/>
        <v>100604.4016546396</v>
      </c>
      <c r="P36" s="70">
        <f t="shared" ca="1" si="19"/>
        <v>32925425.639989987</v>
      </c>
      <c r="Q36" s="70">
        <f ca="1">IF(OR(A36&gt;入力設定!$B$6*12,P36+AC36&lt;0.000001),0,IF(P36&lt;0.000001,Q35,IF(AE36=1,IF(C36=0,P36/MAX(1,入力設定!$B$6*12-A36+1),P36*(C36/12)/(1-(1+C36/12)^(-MAX(1,入力設定!$B$6*12-A36+1)))),Q35)))</f>
        <v>100604.4016546396</v>
      </c>
      <c r="R36" s="70">
        <f ca="1">IF(P36+AC36&lt;0.000001,0,IF(A36=入力設定!$B$6*12,P36+AB36+AC36,MIN(Q36,P36+AB36+AC36)))</f>
        <v>100604.4016546396</v>
      </c>
      <c r="S36" s="70">
        <f t="shared" ca="1" si="6"/>
        <v>30456.01871699074</v>
      </c>
      <c r="T36" s="70">
        <f t="shared" ca="1" si="7"/>
        <v>70148.382937648857</v>
      </c>
      <c r="U36" s="70">
        <f t="shared" ca="1" si="8"/>
        <v>32855277.25705234</v>
      </c>
      <c r="V36" s="70">
        <f t="shared" ca="1" si="9"/>
        <v>0</v>
      </c>
      <c r="W36" s="70">
        <f t="shared" ca="1" si="10"/>
        <v>0</v>
      </c>
      <c r="X36" s="70">
        <f t="shared" ca="1" si="11"/>
        <v>0</v>
      </c>
      <c r="Y36" s="71">
        <f t="shared" ca="1" si="12"/>
        <v>30456.01871699074</v>
      </c>
      <c r="Z36" s="71">
        <f t="shared" ca="1" si="20"/>
        <v>0</v>
      </c>
      <c r="AA36" s="71">
        <f t="shared" ca="1" si="13"/>
        <v>0</v>
      </c>
      <c r="AB36" s="71">
        <f t="shared" ca="1" si="14"/>
        <v>30456.01871699074</v>
      </c>
      <c r="AC36" s="71">
        <f t="shared" ca="1" si="21"/>
        <v>0</v>
      </c>
      <c r="AD36" s="71">
        <f t="shared" ca="1" si="15"/>
        <v>0</v>
      </c>
      <c r="AE36" s="72">
        <f t="shared" si="16"/>
        <v>0</v>
      </c>
      <c r="AF36" s="73">
        <f>IF(A36&gt;入力設定!$B$6*12,0,IF(AND(ISNUMBER(C36),C36&gt;=0,C36&lt;=1),0,1))</f>
        <v>0</v>
      </c>
    </row>
    <row r="37" spans="1:32" ht="21" customHeight="1">
      <c r="A37" s="68">
        <f>32</f>
        <v>32</v>
      </c>
      <c r="B37" s="69">
        <f>EDATE(入力設定!$B$7,A37-1)</f>
        <v>47270</v>
      </c>
      <c r="C37" s="80">
        <f>INDEX(入力設定!$C$15:$C$24,INT((A37-1)/60)+1)</f>
        <v>1.11E-2</v>
      </c>
      <c r="D37" s="70">
        <f t="shared" ca="1" si="17"/>
        <v>32855277.25705234</v>
      </c>
      <c r="E37" s="70">
        <f t="shared" ca="1" si="18"/>
        <v>389</v>
      </c>
      <c r="F37" s="70">
        <f ca="1">IF(D37+Z37&lt;0.000001,0,IF(D37&lt;0.000001,F36,IF(OR(AE37=1,AND(K36&gt;0,入力設定!$B$8="返済額軽減型",入力設定!$B$11="翌月")),IF(C37=0,D37/MAX(1,E37),D37*(C37/12)/(1-(1+C37/12)^(-MAX(1,E37)))),F36)))</f>
        <v>100604.4016546396</v>
      </c>
      <c r="G37" s="70">
        <f t="shared" ca="1" si="0"/>
        <v>100604.4016546396</v>
      </c>
      <c r="H37" s="70">
        <f t="shared" ca="1" si="1"/>
        <v>30391.131462773414</v>
      </c>
      <c r="I37" s="70">
        <f t="shared" ca="1" si="2"/>
        <v>70213.270191866191</v>
      </c>
      <c r="J37" s="70">
        <f>SUMIFS(入力設定!$G$5:$G$24,入力設定!$F$5:$F$24,A37)</f>
        <v>0</v>
      </c>
      <c r="K37" s="70">
        <f t="shared" ca="1" si="3"/>
        <v>0</v>
      </c>
      <c r="L37" s="70">
        <f ca="1">IF(K37&gt;0,入力設定!$B$9,0)</f>
        <v>0</v>
      </c>
      <c r="M37" s="70">
        <f t="shared" ca="1" si="4"/>
        <v>32785063.986860473</v>
      </c>
      <c r="N37" s="70">
        <f ca="1">IF(M37+AA37&lt;0.000001,0,IF(AND(K37&gt;0,入力設定!$B$8="期間短縮型",AA37&lt;0.000001,F37&gt;M37*C37/12),MAX(1,MIN(E37-1,IF(C37=0,ROUNDUP(M37/F37,0),ROUNDUP(-LN(1-M37*(C37/12)/F37)/LN(1+C37/12),0)))),MAX(1,E37-1)))</f>
        <v>388</v>
      </c>
      <c r="O37" s="70">
        <f t="shared" ca="1" si="5"/>
        <v>100604.4016546396</v>
      </c>
      <c r="P37" s="70">
        <f t="shared" ca="1" si="19"/>
        <v>32855277.25705234</v>
      </c>
      <c r="Q37" s="70">
        <f ca="1">IF(OR(A37&gt;入力設定!$B$6*12,P37+AC37&lt;0.000001),0,IF(P37&lt;0.000001,Q36,IF(AE37=1,IF(C37=0,P37/MAX(1,入力設定!$B$6*12-A37+1),P37*(C37/12)/(1-(1+C37/12)^(-MAX(1,入力設定!$B$6*12-A37+1)))),Q36)))</f>
        <v>100604.4016546396</v>
      </c>
      <c r="R37" s="70">
        <f ca="1">IF(P37+AC37&lt;0.000001,0,IF(A37=入力設定!$B$6*12,P37+AB37+AC37,MIN(Q37,P37+AB37+AC37)))</f>
        <v>100604.4016546396</v>
      </c>
      <c r="S37" s="70">
        <f t="shared" ca="1" si="6"/>
        <v>30391.131462773414</v>
      </c>
      <c r="T37" s="70">
        <f t="shared" ca="1" si="7"/>
        <v>70213.270191866191</v>
      </c>
      <c r="U37" s="70">
        <f t="shared" ca="1" si="8"/>
        <v>32785063.986860473</v>
      </c>
      <c r="V37" s="70">
        <f t="shared" ca="1" si="9"/>
        <v>0</v>
      </c>
      <c r="W37" s="70">
        <f t="shared" ca="1" si="10"/>
        <v>0</v>
      </c>
      <c r="X37" s="70">
        <f t="shared" ca="1" si="11"/>
        <v>0</v>
      </c>
      <c r="Y37" s="71">
        <f t="shared" ca="1" si="12"/>
        <v>30391.131462773414</v>
      </c>
      <c r="Z37" s="71">
        <f t="shared" ca="1" si="20"/>
        <v>0</v>
      </c>
      <c r="AA37" s="71">
        <f t="shared" ca="1" si="13"/>
        <v>0</v>
      </c>
      <c r="AB37" s="71">
        <f t="shared" ca="1" si="14"/>
        <v>30391.131462773414</v>
      </c>
      <c r="AC37" s="71">
        <f t="shared" ca="1" si="21"/>
        <v>0</v>
      </c>
      <c r="AD37" s="71">
        <f t="shared" ca="1" si="15"/>
        <v>0</v>
      </c>
      <c r="AE37" s="72">
        <f t="shared" si="16"/>
        <v>0</v>
      </c>
      <c r="AF37" s="73">
        <f>IF(A37&gt;入力設定!$B$6*12,0,IF(AND(ISNUMBER(C37),C37&gt;=0,C37&lt;=1),0,1))</f>
        <v>0</v>
      </c>
    </row>
    <row r="38" spans="1:32" ht="21" customHeight="1">
      <c r="A38" s="68">
        <f>33</f>
        <v>33</v>
      </c>
      <c r="B38" s="69">
        <f>EDATE(入力設定!$B$7,A38-1)</f>
        <v>47300</v>
      </c>
      <c r="C38" s="80">
        <f>INDEX(入力設定!$C$15:$C$24,INT((A38-1)/60)+1)</f>
        <v>1.11E-2</v>
      </c>
      <c r="D38" s="70">
        <f t="shared" ca="1" si="17"/>
        <v>32785063.986860473</v>
      </c>
      <c r="E38" s="70">
        <f t="shared" ca="1" si="18"/>
        <v>388</v>
      </c>
      <c r="F38" s="70">
        <f ca="1">IF(D38+Z38&lt;0.000001,0,IF(D38&lt;0.000001,F37,IF(OR(AE38=1,AND(K37&gt;0,入力設定!$B$8="返済額軽減型",入力設定!$B$11="翌月")),IF(C38=0,D38/MAX(1,E38),D38*(C38/12)/(1-(1+C38/12)^(-MAX(1,E38)))),F37)))</f>
        <v>100604.4016546396</v>
      </c>
      <c r="G38" s="70">
        <f t="shared" ca="1" si="0"/>
        <v>100604.4016546396</v>
      </c>
      <c r="H38" s="70">
        <f t="shared" ca="1" si="1"/>
        <v>30326.184187845938</v>
      </c>
      <c r="I38" s="70">
        <f t="shared" ca="1" si="2"/>
        <v>70278.217466793663</v>
      </c>
      <c r="J38" s="70">
        <f>SUMIFS(入力設定!$G$5:$G$24,入力設定!$F$5:$F$24,A38)</f>
        <v>0</v>
      </c>
      <c r="K38" s="70">
        <f t="shared" ca="1" si="3"/>
        <v>0</v>
      </c>
      <c r="L38" s="70">
        <f ca="1">IF(K38&gt;0,入力設定!$B$9,0)</f>
        <v>0</v>
      </c>
      <c r="M38" s="70">
        <f t="shared" ca="1" si="4"/>
        <v>32714785.769393679</v>
      </c>
      <c r="N38" s="70">
        <f ca="1">IF(M38+AA38&lt;0.000001,0,IF(AND(K38&gt;0,入力設定!$B$8="期間短縮型",AA38&lt;0.000001,F38&gt;M38*C38/12),MAX(1,MIN(E38-1,IF(C38=0,ROUNDUP(M38/F38,0),ROUNDUP(-LN(1-M38*(C38/12)/F38)/LN(1+C38/12),0)))),MAX(1,E38-1)))</f>
        <v>387</v>
      </c>
      <c r="O38" s="70">
        <f t="shared" ca="1" si="5"/>
        <v>100604.4016546396</v>
      </c>
      <c r="P38" s="70">
        <f t="shared" ca="1" si="19"/>
        <v>32785063.986860473</v>
      </c>
      <c r="Q38" s="70">
        <f ca="1">IF(OR(A38&gt;入力設定!$B$6*12,P38+AC38&lt;0.000001),0,IF(P38&lt;0.000001,Q37,IF(AE38=1,IF(C38=0,P38/MAX(1,入力設定!$B$6*12-A38+1),P38*(C38/12)/(1-(1+C38/12)^(-MAX(1,入力設定!$B$6*12-A38+1)))),Q37)))</f>
        <v>100604.4016546396</v>
      </c>
      <c r="R38" s="70">
        <f ca="1">IF(P38+AC38&lt;0.000001,0,IF(A38=入力設定!$B$6*12,P38+AB38+AC38,MIN(Q38,P38+AB38+AC38)))</f>
        <v>100604.4016546396</v>
      </c>
      <c r="S38" s="70">
        <f t="shared" ca="1" si="6"/>
        <v>30326.184187845938</v>
      </c>
      <c r="T38" s="70">
        <f t="shared" ca="1" si="7"/>
        <v>70278.217466793663</v>
      </c>
      <c r="U38" s="70">
        <f t="shared" ca="1" si="8"/>
        <v>32714785.769393679</v>
      </c>
      <c r="V38" s="70">
        <f t="shared" ca="1" si="9"/>
        <v>0</v>
      </c>
      <c r="W38" s="70">
        <f t="shared" ca="1" si="10"/>
        <v>0</v>
      </c>
      <c r="X38" s="70">
        <f t="shared" ca="1" si="11"/>
        <v>0</v>
      </c>
      <c r="Y38" s="71">
        <f t="shared" ca="1" si="12"/>
        <v>30326.184187845938</v>
      </c>
      <c r="Z38" s="71">
        <f t="shared" ca="1" si="20"/>
        <v>0</v>
      </c>
      <c r="AA38" s="71">
        <f t="shared" ca="1" si="13"/>
        <v>0</v>
      </c>
      <c r="AB38" s="71">
        <f t="shared" ca="1" si="14"/>
        <v>30326.184187845938</v>
      </c>
      <c r="AC38" s="71">
        <f t="shared" ca="1" si="21"/>
        <v>0</v>
      </c>
      <c r="AD38" s="71">
        <f t="shared" ca="1" si="15"/>
        <v>0</v>
      </c>
      <c r="AE38" s="72">
        <f t="shared" si="16"/>
        <v>0</v>
      </c>
      <c r="AF38" s="73">
        <f>IF(A38&gt;入力設定!$B$6*12,0,IF(AND(ISNUMBER(C38),C38&gt;=0,C38&lt;=1),0,1))</f>
        <v>0</v>
      </c>
    </row>
    <row r="39" spans="1:32" ht="21" customHeight="1">
      <c r="A39" s="68">
        <f>34</f>
        <v>34</v>
      </c>
      <c r="B39" s="69">
        <f>EDATE(入力設定!$B$7,A39-1)</f>
        <v>47331</v>
      </c>
      <c r="C39" s="80">
        <f>INDEX(入力設定!$C$15:$C$24,INT((A39-1)/60)+1)</f>
        <v>1.11E-2</v>
      </c>
      <c r="D39" s="70">
        <f t="shared" ca="1" si="17"/>
        <v>32714785.769393679</v>
      </c>
      <c r="E39" s="70">
        <f t="shared" ca="1" si="18"/>
        <v>387</v>
      </c>
      <c r="F39" s="70">
        <f ca="1">IF(D39+Z39&lt;0.000001,0,IF(D39&lt;0.000001,F38,IF(OR(AE39=1,AND(K38&gt;0,入力設定!$B$8="返済額軽減型",入力設定!$B$11="翌月")),IF(C39=0,D39/MAX(1,E39),D39*(C39/12)/(1-(1+C39/12)^(-MAX(1,E39)))),F38)))</f>
        <v>100604.4016546396</v>
      </c>
      <c r="G39" s="70">
        <f t="shared" ca="1" si="0"/>
        <v>100604.4016546396</v>
      </c>
      <c r="H39" s="70">
        <f t="shared" ca="1" si="1"/>
        <v>30261.176836689152</v>
      </c>
      <c r="I39" s="70">
        <f t="shared" ca="1" si="2"/>
        <v>70343.224817950453</v>
      </c>
      <c r="J39" s="70">
        <f>SUMIFS(入力設定!$G$5:$G$24,入力設定!$F$5:$F$24,A39)</f>
        <v>0</v>
      </c>
      <c r="K39" s="70">
        <f t="shared" ca="1" si="3"/>
        <v>0</v>
      </c>
      <c r="L39" s="70">
        <f ca="1">IF(K39&gt;0,入力設定!$B$9,0)</f>
        <v>0</v>
      </c>
      <c r="M39" s="70">
        <f t="shared" ca="1" si="4"/>
        <v>32644442.544575728</v>
      </c>
      <c r="N39" s="70">
        <f ca="1">IF(M39+AA39&lt;0.000001,0,IF(AND(K39&gt;0,入力設定!$B$8="期間短縮型",AA39&lt;0.000001,F39&gt;M39*C39/12),MAX(1,MIN(E39-1,IF(C39=0,ROUNDUP(M39/F39,0),ROUNDUP(-LN(1-M39*(C39/12)/F39)/LN(1+C39/12),0)))),MAX(1,E39-1)))</f>
        <v>386</v>
      </c>
      <c r="O39" s="70">
        <f t="shared" ca="1" si="5"/>
        <v>100604.4016546396</v>
      </c>
      <c r="P39" s="70">
        <f t="shared" ca="1" si="19"/>
        <v>32714785.769393679</v>
      </c>
      <c r="Q39" s="70">
        <f ca="1">IF(OR(A39&gt;入力設定!$B$6*12,P39+AC39&lt;0.000001),0,IF(P39&lt;0.000001,Q38,IF(AE39=1,IF(C39=0,P39/MAX(1,入力設定!$B$6*12-A39+1),P39*(C39/12)/(1-(1+C39/12)^(-MAX(1,入力設定!$B$6*12-A39+1)))),Q38)))</f>
        <v>100604.4016546396</v>
      </c>
      <c r="R39" s="70">
        <f ca="1">IF(P39+AC39&lt;0.000001,0,IF(A39=入力設定!$B$6*12,P39+AB39+AC39,MIN(Q39,P39+AB39+AC39)))</f>
        <v>100604.4016546396</v>
      </c>
      <c r="S39" s="70">
        <f t="shared" ca="1" si="6"/>
        <v>30261.176836689152</v>
      </c>
      <c r="T39" s="70">
        <f t="shared" ca="1" si="7"/>
        <v>70343.224817950453</v>
      </c>
      <c r="U39" s="70">
        <f t="shared" ca="1" si="8"/>
        <v>32644442.544575728</v>
      </c>
      <c r="V39" s="70">
        <f t="shared" ca="1" si="9"/>
        <v>0</v>
      </c>
      <c r="W39" s="70">
        <f t="shared" ca="1" si="10"/>
        <v>0</v>
      </c>
      <c r="X39" s="70">
        <f t="shared" ca="1" si="11"/>
        <v>0</v>
      </c>
      <c r="Y39" s="71">
        <f t="shared" ca="1" si="12"/>
        <v>30261.176836689152</v>
      </c>
      <c r="Z39" s="71">
        <f t="shared" ca="1" si="20"/>
        <v>0</v>
      </c>
      <c r="AA39" s="71">
        <f t="shared" ca="1" si="13"/>
        <v>0</v>
      </c>
      <c r="AB39" s="71">
        <f t="shared" ca="1" si="14"/>
        <v>30261.176836689152</v>
      </c>
      <c r="AC39" s="71">
        <f t="shared" ca="1" si="21"/>
        <v>0</v>
      </c>
      <c r="AD39" s="71">
        <f t="shared" ca="1" si="15"/>
        <v>0</v>
      </c>
      <c r="AE39" s="72">
        <f t="shared" si="16"/>
        <v>0</v>
      </c>
      <c r="AF39" s="73">
        <f>IF(A39&gt;入力設定!$B$6*12,0,IF(AND(ISNUMBER(C39),C39&gt;=0,C39&lt;=1),0,1))</f>
        <v>0</v>
      </c>
    </row>
    <row r="40" spans="1:32" ht="21" customHeight="1">
      <c r="A40" s="68">
        <f>35</f>
        <v>35</v>
      </c>
      <c r="B40" s="69">
        <f>EDATE(入力設定!$B$7,A40-1)</f>
        <v>47362</v>
      </c>
      <c r="C40" s="80">
        <f>INDEX(入力設定!$C$15:$C$24,INT((A40-1)/60)+1)</f>
        <v>1.11E-2</v>
      </c>
      <c r="D40" s="70">
        <f t="shared" ca="1" si="17"/>
        <v>32644442.544575728</v>
      </c>
      <c r="E40" s="70">
        <f t="shared" ca="1" si="18"/>
        <v>386</v>
      </c>
      <c r="F40" s="70">
        <f ca="1">IF(D40+Z40&lt;0.000001,0,IF(D40&lt;0.000001,F39,IF(OR(AE40=1,AND(K39&gt;0,入力設定!$B$8="返済額軽減型",入力設定!$B$11="翌月")),IF(C40=0,D40/MAX(1,E40),D40*(C40/12)/(1-(1+C40/12)^(-MAX(1,E40)))),F39)))</f>
        <v>100604.4016546396</v>
      </c>
      <c r="G40" s="70">
        <f t="shared" ca="1" si="0"/>
        <v>100604.4016546396</v>
      </c>
      <c r="H40" s="70">
        <f t="shared" ca="1" si="1"/>
        <v>30196.109353732551</v>
      </c>
      <c r="I40" s="70">
        <f t="shared" ca="1" si="2"/>
        <v>70408.292300907051</v>
      </c>
      <c r="J40" s="70">
        <f>SUMIFS(入力設定!$G$5:$G$24,入力設定!$F$5:$F$24,A40)</f>
        <v>0</v>
      </c>
      <c r="K40" s="70">
        <f t="shared" ca="1" si="3"/>
        <v>0</v>
      </c>
      <c r="L40" s="70">
        <f ca="1">IF(K40&gt;0,入力設定!$B$9,0)</f>
        <v>0</v>
      </c>
      <c r="M40" s="70">
        <f t="shared" ca="1" si="4"/>
        <v>32574034.252274822</v>
      </c>
      <c r="N40" s="70">
        <f ca="1">IF(M40+AA40&lt;0.000001,0,IF(AND(K40&gt;0,入力設定!$B$8="期間短縮型",AA40&lt;0.000001,F40&gt;M40*C40/12),MAX(1,MIN(E40-1,IF(C40=0,ROUNDUP(M40/F40,0),ROUNDUP(-LN(1-M40*(C40/12)/F40)/LN(1+C40/12),0)))),MAX(1,E40-1)))</f>
        <v>385</v>
      </c>
      <c r="O40" s="70">
        <f t="shared" ca="1" si="5"/>
        <v>100604.4016546396</v>
      </c>
      <c r="P40" s="70">
        <f t="shared" ca="1" si="19"/>
        <v>32644442.544575728</v>
      </c>
      <c r="Q40" s="70">
        <f ca="1">IF(OR(A40&gt;入力設定!$B$6*12,P40+AC40&lt;0.000001),0,IF(P40&lt;0.000001,Q39,IF(AE40=1,IF(C40=0,P40/MAX(1,入力設定!$B$6*12-A40+1),P40*(C40/12)/(1-(1+C40/12)^(-MAX(1,入力設定!$B$6*12-A40+1)))),Q39)))</f>
        <v>100604.4016546396</v>
      </c>
      <c r="R40" s="70">
        <f ca="1">IF(P40+AC40&lt;0.000001,0,IF(A40=入力設定!$B$6*12,P40+AB40+AC40,MIN(Q40,P40+AB40+AC40)))</f>
        <v>100604.4016546396</v>
      </c>
      <c r="S40" s="70">
        <f t="shared" ca="1" si="6"/>
        <v>30196.109353732551</v>
      </c>
      <c r="T40" s="70">
        <f t="shared" ca="1" si="7"/>
        <v>70408.292300907051</v>
      </c>
      <c r="U40" s="70">
        <f t="shared" ca="1" si="8"/>
        <v>32574034.252274822</v>
      </c>
      <c r="V40" s="70">
        <f t="shared" ca="1" si="9"/>
        <v>0</v>
      </c>
      <c r="W40" s="70">
        <f t="shared" ca="1" si="10"/>
        <v>0</v>
      </c>
      <c r="X40" s="70">
        <f t="shared" ca="1" si="11"/>
        <v>0</v>
      </c>
      <c r="Y40" s="71">
        <f t="shared" ca="1" si="12"/>
        <v>30196.109353732551</v>
      </c>
      <c r="Z40" s="71">
        <f t="shared" ca="1" si="20"/>
        <v>0</v>
      </c>
      <c r="AA40" s="71">
        <f t="shared" ca="1" si="13"/>
        <v>0</v>
      </c>
      <c r="AB40" s="71">
        <f t="shared" ca="1" si="14"/>
        <v>30196.109353732551</v>
      </c>
      <c r="AC40" s="71">
        <f t="shared" ca="1" si="21"/>
        <v>0</v>
      </c>
      <c r="AD40" s="71">
        <f t="shared" ca="1" si="15"/>
        <v>0</v>
      </c>
      <c r="AE40" s="72">
        <f t="shared" si="16"/>
        <v>0</v>
      </c>
      <c r="AF40" s="73">
        <f>IF(A40&gt;入力設定!$B$6*12,0,IF(AND(ISNUMBER(C40),C40&gt;=0,C40&lt;=1),0,1))</f>
        <v>0</v>
      </c>
    </row>
    <row r="41" spans="1:32" ht="21" customHeight="1">
      <c r="A41" s="68">
        <f>36</f>
        <v>36</v>
      </c>
      <c r="B41" s="69">
        <f>EDATE(入力設定!$B$7,A41-1)</f>
        <v>47392</v>
      </c>
      <c r="C41" s="80">
        <f>INDEX(入力設定!$C$15:$C$24,INT((A41-1)/60)+1)</f>
        <v>1.11E-2</v>
      </c>
      <c r="D41" s="70">
        <f t="shared" ca="1" si="17"/>
        <v>32574034.252274822</v>
      </c>
      <c r="E41" s="70">
        <f t="shared" ca="1" si="18"/>
        <v>385</v>
      </c>
      <c r="F41" s="70">
        <f ca="1">IF(D41+Z41&lt;0.000001,0,IF(D41&lt;0.000001,F40,IF(OR(AE41=1,AND(K40&gt;0,入力設定!$B$8="返済額軽減型",入力設定!$B$11="翌月")),IF(C41=0,D41/MAX(1,E41),D41*(C41/12)/(1-(1+C41/12)^(-MAX(1,E41)))),F40)))</f>
        <v>100604.4016546396</v>
      </c>
      <c r="G41" s="70">
        <f t="shared" ca="1" si="0"/>
        <v>100604.4016546396</v>
      </c>
      <c r="H41" s="70">
        <f t="shared" ca="1" si="1"/>
        <v>30130.981683354214</v>
      </c>
      <c r="I41" s="70">
        <f t="shared" ca="1" si="2"/>
        <v>70473.419971285388</v>
      </c>
      <c r="J41" s="70">
        <f>SUMIFS(入力設定!$G$5:$G$24,入力設定!$F$5:$F$24,A41)</f>
        <v>0</v>
      </c>
      <c r="K41" s="70">
        <f t="shared" ca="1" si="3"/>
        <v>0</v>
      </c>
      <c r="L41" s="70">
        <f ca="1">IF(K41&gt;0,入力設定!$B$9,0)</f>
        <v>0</v>
      </c>
      <c r="M41" s="70">
        <f t="shared" ca="1" si="4"/>
        <v>32503560.832303539</v>
      </c>
      <c r="N41" s="70">
        <f ca="1">IF(M41+AA41&lt;0.000001,0,IF(AND(K41&gt;0,入力設定!$B$8="期間短縮型",AA41&lt;0.000001,F41&gt;M41*C41/12),MAX(1,MIN(E41-1,IF(C41=0,ROUNDUP(M41/F41,0),ROUNDUP(-LN(1-M41*(C41/12)/F41)/LN(1+C41/12),0)))),MAX(1,E41-1)))</f>
        <v>384</v>
      </c>
      <c r="O41" s="70">
        <f t="shared" ca="1" si="5"/>
        <v>100604.4016546396</v>
      </c>
      <c r="P41" s="70">
        <f t="shared" ca="1" si="19"/>
        <v>32574034.252274822</v>
      </c>
      <c r="Q41" s="70">
        <f ca="1">IF(OR(A41&gt;入力設定!$B$6*12,P41+AC41&lt;0.000001),0,IF(P41&lt;0.000001,Q40,IF(AE41=1,IF(C41=0,P41/MAX(1,入力設定!$B$6*12-A41+1),P41*(C41/12)/(1-(1+C41/12)^(-MAX(1,入力設定!$B$6*12-A41+1)))),Q40)))</f>
        <v>100604.4016546396</v>
      </c>
      <c r="R41" s="70">
        <f ca="1">IF(P41+AC41&lt;0.000001,0,IF(A41=入力設定!$B$6*12,P41+AB41+AC41,MIN(Q41,P41+AB41+AC41)))</f>
        <v>100604.4016546396</v>
      </c>
      <c r="S41" s="70">
        <f t="shared" ca="1" si="6"/>
        <v>30130.981683354214</v>
      </c>
      <c r="T41" s="70">
        <f t="shared" ca="1" si="7"/>
        <v>70473.419971285388</v>
      </c>
      <c r="U41" s="70">
        <f t="shared" ca="1" si="8"/>
        <v>32503560.832303539</v>
      </c>
      <c r="V41" s="70">
        <f t="shared" ca="1" si="9"/>
        <v>0</v>
      </c>
      <c r="W41" s="70">
        <f t="shared" ca="1" si="10"/>
        <v>0</v>
      </c>
      <c r="X41" s="70">
        <f t="shared" ca="1" si="11"/>
        <v>0</v>
      </c>
      <c r="Y41" s="71">
        <f t="shared" ca="1" si="12"/>
        <v>30130.981683354214</v>
      </c>
      <c r="Z41" s="71">
        <f t="shared" ca="1" si="20"/>
        <v>0</v>
      </c>
      <c r="AA41" s="71">
        <f t="shared" ca="1" si="13"/>
        <v>0</v>
      </c>
      <c r="AB41" s="71">
        <f t="shared" ca="1" si="14"/>
        <v>30130.981683354214</v>
      </c>
      <c r="AC41" s="71">
        <f t="shared" ca="1" si="21"/>
        <v>0</v>
      </c>
      <c r="AD41" s="71">
        <f t="shared" ca="1" si="15"/>
        <v>0</v>
      </c>
      <c r="AE41" s="72">
        <f t="shared" si="16"/>
        <v>0</v>
      </c>
      <c r="AF41" s="73">
        <f>IF(A41&gt;入力設定!$B$6*12,0,IF(AND(ISNUMBER(C41),C41&gt;=0,C41&lt;=1),0,1))</f>
        <v>0</v>
      </c>
    </row>
    <row r="42" spans="1:32" ht="21" customHeight="1">
      <c r="A42" s="68">
        <f>37</f>
        <v>37</v>
      </c>
      <c r="B42" s="69">
        <f>EDATE(入力設定!$B$7,A42-1)</f>
        <v>47423</v>
      </c>
      <c r="C42" s="80">
        <f>INDEX(入力設定!$C$15:$C$24,INT((A42-1)/60)+1)</f>
        <v>1.11E-2</v>
      </c>
      <c r="D42" s="70">
        <f t="shared" ca="1" si="17"/>
        <v>32503560.832303539</v>
      </c>
      <c r="E42" s="70">
        <f t="shared" ca="1" si="18"/>
        <v>384</v>
      </c>
      <c r="F42" s="70">
        <f ca="1">IF(D42+Z42&lt;0.000001,0,IF(D42&lt;0.000001,F41,IF(OR(AE42=1,AND(K41&gt;0,入力設定!$B$8="返済額軽減型",入力設定!$B$11="翌月")),IF(C42=0,D42/MAX(1,E42),D42*(C42/12)/(1-(1+C42/12)^(-MAX(1,E42)))),F41)))</f>
        <v>100604.4016546396</v>
      </c>
      <c r="G42" s="70">
        <f t="shared" ca="1" si="0"/>
        <v>100604.4016546396</v>
      </c>
      <c r="H42" s="70">
        <f t="shared" ca="1" si="1"/>
        <v>30065.793769880776</v>
      </c>
      <c r="I42" s="70">
        <f t="shared" ca="1" si="2"/>
        <v>70538.607884758821</v>
      </c>
      <c r="J42" s="70">
        <f>SUMIFS(入力設定!$G$5:$G$24,入力設定!$F$5:$F$24,A42)</f>
        <v>0</v>
      </c>
      <c r="K42" s="70">
        <f t="shared" ca="1" si="3"/>
        <v>0</v>
      </c>
      <c r="L42" s="70">
        <f ca="1">IF(K42&gt;0,入力設定!$B$9,0)</f>
        <v>0</v>
      </c>
      <c r="M42" s="70">
        <f t="shared" ca="1" si="4"/>
        <v>32433022.224418782</v>
      </c>
      <c r="N42" s="70">
        <f ca="1">IF(M42+AA42&lt;0.000001,0,IF(AND(K42&gt;0,入力設定!$B$8="期間短縮型",AA42&lt;0.000001,F42&gt;M42*C42/12),MAX(1,MIN(E42-1,IF(C42=0,ROUNDUP(M42/F42,0),ROUNDUP(-LN(1-M42*(C42/12)/F42)/LN(1+C42/12),0)))),MAX(1,E42-1)))</f>
        <v>383</v>
      </c>
      <c r="O42" s="70">
        <f t="shared" ca="1" si="5"/>
        <v>100604.4016546396</v>
      </c>
      <c r="P42" s="70">
        <f t="shared" ca="1" si="19"/>
        <v>32503560.832303539</v>
      </c>
      <c r="Q42" s="70">
        <f ca="1">IF(OR(A42&gt;入力設定!$B$6*12,P42+AC42&lt;0.000001),0,IF(P42&lt;0.000001,Q41,IF(AE42=1,IF(C42=0,P42/MAX(1,入力設定!$B$6*12-A42+1),P42*(C42/12)/(1-(1+C42/12)^(-MAX(1,入力設定!$B$6*12-A42+1)))),Q41)))</f>
        <v>100604.4016546396</v>
      </c>
      <c r="R42" s="70">
        <f ca="1">IF(P42+AC42&lt;0.000001,0,IF(A42=入力設定!$B$6*12,P42+AB42+AC42,MIN(Q42,P42+AB42+AC42)))</f>
        <v>100604.4016546396</v>
      </c>
      <c r="S42" s="70">
        <f t="shared" ca="1" si="6"/>
        <v>30065.793769880776</v>
      </c>
      <c r="T42" s="70">
        <f t="shared" ca="1" si="7"/>
        <v>70538.607884758821</v>
      </c>
      <c r="U42" s="70">
        <f t="shared" ca="1" si="8"/>
        <v>32433022.224418782</v>
      </c>
      <c r="V42" s="70">
        <f t="shared" ca="1" si="9"/>
        <v>0</v>
      </c>
      <c r="W42" s="70">
        <f t="shared" ca="1" si="10"/>
        <v>0</v>
      </c>
      <c r="X42" s="70">
        <f t="shared" ca="1" si="11"/>
        <v>0</v>
      </c>
      <c r="Y42" s="71">
        <f t="shared" ca="1" si="12"/>
        <v>30065.793769880776</v>
      </c>
      <c r="Z42" s="71">
        <f t="shared" ca="1" si="20"/>
        <v>0</v>
      </c>
      <c r="AA42" s="71">
        <f t="shared" ca="1" si="13"/>
        <v>0</v>
      </c>
      <c r="AB42" s="71">
        <f t="shared" ca="1" si="14"/>
        <v>30065.793769880776</v>
      </c>
      <c r="AC42" s="71">
        <f t="shared" ca="1" si="21"/>
        <v>0</v>
      </c>
      <c r="AD42" s="71">
        <f t="shared" ca="1" si="15"/>
        <v>0</v>
      </c>
      <c r="AE42" s="72">
        <f t="shared" si="16"/>
        <v>0</v>
      </c>
      <c r="AF42" s="73">
        <f>IF(A42&gt;入力設定!$B$6*12,0,IF(AND(ISNUMBER(C42),C42&gt;=0,C42&lt;=1),0,1))</f>
        <v>0</v>
      </c>
    </row>
    <row r="43" spans="1:32" ht="21" customHeight="1">
      <c r="A43" s="68">
        <f>38</f>
        <v>38</v>
      </c>
      <c r="B43" s="69">
        <f>EDATE(入力設定!$B$7,A43-1)</f>
        <v>47453</v>
      </c>
      <c r="C43" s="80">
        <f>INDEX(入力設定!$C$15:$C$24,INT((A43-1)/60)+1)</f>
        <v>1.11E-2</v>
      </c>
      <c r="D43" s="70">
        <f t="shared" ca="1" si="17"/>
        <v>32433022.224418782</v>
      </c>
      <c r="E43" s="70">
        <f t="shared" ca="1" si="18"/>
        <v>383</v>
      </c>
      <c r="F43" s="70">
        <f ca="1">IF(D43+Z43&lt;0.000001,0,IF(D43&lt;0.000001,F42,IF(OR(AE43=1,AND(K42&gt;0,入力設定!$B$8="返済額軽減型",入力設定!$B$11="翌月")),IF(C43=0,D43/MAX(1,E43),D43*(C43/12)/(1-(1+C43/12)^(-MAX(1,E43)))),F42)))</f>
        <v>100604.4016546396</v>
      </c>
      <c r="G43" s="70">
        <f t="shared" ca="1" si="0"/>
        <v>100604.4016546396</v>
      </c>
      <c r="H43" s="70">
        <f t="shared" ca="1" si="1"/>
        <v>30000.545557587375</v>
      </c>
      <c r="I43" s="70">
        <f t="shared" ca="1" si="2"/>
        <v>70603.856097052223</v>
      </c>
      <c r="J43" s="70">
        <f>SUMIFS(入力設定!$G$5:$G$24,入力設定!$F$5:$F$24,A43)</f>
        <v>0</v>
      </c>
      <c r="K43" s="70">
        <f t="shared" ca="1" si="3"/>
        <v>0</v>
      </c>
      <c r="L43" s="70">
        <f ca="1">IF(K43&gt;0,入力設定!$B$9,0)</f>
        <v>0</v>
      </c>
      <c r="M43" s="70">
        <f t="shared" ca="1" si="4"/>
        <v>32362418.368321728</v>
      </c>
      <c r="N43" s="70">
        <f ca="1">IF(M43+AA43&lt;0.000001,0,IF(AND(K43&gt;0,入力設定!$B$8="期間短縮型",AA43&lt;0.000001,F43&gt;M43*C43/12),MAX(1,MIN(E43-1,IF(C43=0,ROUNDUP(M43/F43,0),ROUNDUP(-LN(1-M43*(C43/12)/F43)/LN(1+C43/12),0)))),MAX(1,E43-1)))</f>
        <v>382</v>
      </c>
      <c r="O43" s="70">
        <f t="shared" ca="1" si="5"/>
        <v>100604.4016546396</v>
      </c>
      <c r="P43" s="70">
        <f t="shared" ca="1" si="19"/>
        <v>32433022.224418782</v>
      </c>
      <c r="Q43" s="70">
        <f ca="1">IF(OR(A43&gt;入力設定!$B$6*12,P43+AC43&lt;0.000001),0,IF(P43&lt;0.000001,Q42,IF(AE43=1,IF(C43=0,P43/MAX(1,入力設定!$B$6*12-A43+1),P43*(C43/12)/(1-(1+C43/12)^(-MAX(1,入力設定!$B$6*12-A43+1)))),Q42)))</f>
        <v>100604.4016546396</v>
      </c>
      <c r="R43" s="70">
        <f ca="1">IF(P43+AC43&lt;0.000001,0,IF(A43=入力設定!$B$6*12,P43+AB43+AC43,MIN(Q43,P43+AB43+AC43)))</f>
        <v>100604.4016546396</v>
      </c>
      <c r="S43" s="70">
        <f t="shared" ca="1" si="6"/>
        <v>30000.545557587375</v>
      </c>
      <c r="T43" s="70">
        <f t="shared" ca="1" si="7"/>
        <v>70603.856097052223</v>
      </c>
      <c r="U43" s="70">
        <f t="shared" ca="1" si="8"/>
        <v>32362418.368321728</v>
      </c>
      <c r="V43" s="70">
        <f t="shared" ca="1" si="9"/>
        <v>0</v>
      </c>
      <c r="W43" s="70">
        <f t="shared" ca="1" si="10"/>
        <v>0</v>
      </c>
      <c r="X43" s="70">
        <f t="shared" ca="1" si="11"/>
        <v>0</v>
      </c>
      <c r="Y43" s="71">
        <f t="shared" ca="1" si="12"/>
        <v>30000.545557587375</v>
      </c>
      <c r="Z43" s="71">
        <f t="shared" ca="1" si="20"/>
        <v>0</v>
      </c>
      <c r="AA43" s="71">
        <f t="shared" ca="1" si="13"/>
        <v>0</v>
      </c>
      <c r="AB43" s="71">
        <f t="shared" ca="1" si="14"/>
        <v>30000.545557587375</v>
      </c>
      <c r="AC43" s="71">
        <f t="shared" ca="1" si="21"/>
        <v>0</v>
      </c>
      <c r="AD43" s="71">
        <f t="shared" ca="1" si="15"/>
        <v>0</v>
      </c>
      <c r="AE43" s="72">
        <f t="shared" si="16"/>
        <v>0</v>
      </c>
      <c r="AF43" s="73">
        <f>IF(A43&gt;入力設定!$B$6*12,0,IF(AND(ISNUMBER(C43),C43&gt;=0,C43&lt;=1),0,1))</f>
        <v>0</v>
      </c>
    </row>
    <row r="44" spans="1:32" ht="21" customHeight="1">
      <c r="A44" s="68">
        <f>39</f>
        <v>39</v>
      </c>
      <c r="B44" s="69">
        <f>EDATE(入力設定!$B$7,A44-1)</f>
        <v>47484</v>
      </c>
      <c r="C44" s="80">
        <f>INDEX(入力設定!$C$15:$C$24,INT((A44-1)/60)+1)</f>
        <v>1.11E-2</v>
      </c>
      <c r="D44" s="70">
        <f t="shared" ca="1" si="17"/>
        <v>32362418.368321728</v>
      </c>
      <c r="E44" s="70">
        <f t="shared" ca="1" si="18"/>
        <v>382</v>
      </c>
      <c r="F44" s="70">
        <f ca="1">IF(D44+Z44&lt;0.000001,0,IF(D44&lt;0.000001,F43,IF(OR(AE44=1,AND(K43&gt;0,入力設定!$B$8="返済額軽減型",入力設定!$B$11="翌月")),IF(C44=0,D44/MAX(1,E44),D44*(C44/12)/(1-(1+C44/12)^(-MAX(1,E44)))),F43)))</f>
        <v>100604.4016546396</v>
      </c>
      <c r="G44" s="70">
        <f t="shared" ca="1" si="0"/>
        <v>100604.4016546396</v>
      </c>
      <c r="H44" s="70">
        <f t="shared" ca="1" si="1"/>
        <v>29935.236990697598</v>
      </c>
      <c r="I44" s="70">
        <f t="shared" ca="1" si="2"/>
        <v>70669.164663942007</v>
      </c>
      <c r="J44" s="70">
        <f>SUMIFS(入力設定!$G$5:$G$24,入力設定!$F$5:$F$24,A44)</f>
        <v>0</v>
      </c>
      <c r="K44" s="70">
        <f t="shared" ca="1" si="3"/>
        <v>0</v>
      </c>
      <c r="L44" s="70">
        <f ca="1">IF(K44&gt;0,入力設定!$B$9,0)</f>
        <v>0</v>
      </c>
      <c r="M44" s="70">
        <f t="shared" ca="1" si="4"/>
        <v>32291749.203657787</v>
      </c>
      <c r="N44" s="70">
        <f ca="1">IF(M44+AA44&lt;0.000001,0,IF(AND(K44&gt;0,入力設定!$B$8="期間短縮型",AA44&lt;0.000001,F44&gt;M44*C44/12),MAX(1,MIN(E44-1,IF(C44=0,ROUNDUP(M44/F44,0),ROUNDUP(-LN(1-M44*(C44/12)/F44)/LN(1+C44/12),0)))),MAX(1,E44-1)))</f>
        <v>381</v>
      </c>
      <c r="O44" s="70">
        <f t="shared" ca="1" si="5"/>
        <v>100604.4016546396</v>
      </c>
      <c r="P44" s="70">
        <f t="shared" ca="1" si="19"/>
        <v>32362418.368321728</v>
      </c>
      <c r="Q44" s="70">
        <f ca="1">IF(OR(A44&gt;入力設定!$B$6*12,P44+AC44&lt;0.000001),0,IF(P44&lt;0.000001,Q43,IF(AE44=1,IF(C44=0,P44/MAX(1,入力設定!$B$6*12-A44+1),P44*(C44/12)/(1-(1+C44/12)^(-MAX(1,入力設定!$B$6*12-A44+1)))),Q43)))</f>
        <v>100604.4016546396</v>
      </c>
      <c r="R44" s="70">
        <f ca="1">IF(P44+AC44&lt;0.000001,0,IF(A44=入力設定!$B$6*12,P44+AB44+AC44,MIN(Q44,P44+AB44+AC44)))</f>
        <v>100604.4016546396</v>
      </c>
      <c r="S44" s="70">
        <f t="shared" ca="1" si="6"/>
        <v>29935.236990697598</v>
      </c>
      <c r="T44" s="70">
        <f t="shared" ca="1" si="7"/>
        <v>70669.164663942007</v>
      </c>
      <c r="U44" s="70">
        <f t="shared" ca="1" si="8"/>
        <v>32291749.203657787</v>
      </c>
      <c r="V44" s="70">
        <f t="shared" ca="1" si="9"/>
        <v>0</v>
      </c>
      <c r="W44" s="70">
        <f t="shared" ca="1" si="10"/>
        <v>0</v>
      </c>
      <c r="X44" s="70">
        <f t="shared" ca="1" si="11"/>
        <v>0</v>
      </c>
      <c r="Y44" s="71">
        <f t="shared" ca="1" si="12"/>
        <v>29935.236990697598</v>
      </c>
      <c r="Z44" s="71">
        <f t="shared" ca="1" si="20"/>
        <v>0</v>
      </c>
      <c r="AA44" s="71">
        <f t="shared" ca="1" si="13"/>
        <v>0</v>
      </c>
      <c r="AB44" s="71">
        <f t="shared" ca="1" si="14"/>
        <v>29935.236990697598</v>
      </c>
      <c r="AC44" s="71">
        <f t="shared" ca="1" si="21"/>
        <v>0</v>
      </c>
      <c r="AD44" s="71">
        <f t="shared" ca="1" si="15"/>
        <v>0</v>
      </c>
      <c r="AE44" s="72">
        <f t="shared" si="16"/>
        <v>0</v>
      </c>
      <c r="AF44" s="73">
        <f>IF(A44&gt;入力設定!$B$6*12,0,IF(AND(ISNUMBER(C44),C44&gt;=0,C44&lt;=1),0,1))</f>
        <v>0</v>
      </c>
    </row>
    <row r="45" spans="1:32" ht="21" customHeight="1">
      <c r="A45" s="68">
        <f>40</f>
        <v>40</v>
      </c>
      <c r="B45" s="69">
        <f>EDATE(入力設定!$B$7,A45-1)</f>
        <v>47515</v>
      </c>
      <c r="C45" s="80">
        <f>INDEX(入力設定!$C$15:$C$24,INT((A45-1)/60)+1)</f>
        <v>1.11E-2</v>
      </c>
      <c r="D45" s="70">
        <f t="shared" ca="1" si="17"/>
        <v>32291749.203657787</v>
      </c>
      <c r="E45" s="70">
        <f t="shared" ca="1" si="18"/>
        <v>381</v>
      </c>
      <c r="F45" s="70">
        <f ca="1">IF(D45+Z45&lt;0.000001,0,IF(D45&lt;0.000001,F44,IF(OR(AE45=1,AND(K44&gt;0,入力設定!$B$8="返済額軽減型",入力設定!$B$11="翌月")),IF(C45=0,D45/MAX(1,E45),D45*(C45/12)/(1-(1+C45/12)^(-MAX(1,E45)))),F44)))</f>
        <v>100604.4016546396</v>
      </c>
      <c r="G45" s="70">
        <f t="shared" ca="1" si="0"/>
        <v>100604.4016546396</v>
      </c>
      <c r="H45" s="70">
        <f t="shared" ca="1" si="1"/>
        <v>29869.868013383457</v>
      </c>
      <c r="I45" s="70">
        <f t="shared" ca="1" si="2"/>
        <v>70734.533641256145</v>
      </c>
      <c r="J45" s="70">
        <f>SUMIFS(入力設定!$G$5:$G$24,入力設定!$F$5:$F$24,A45)</f>
        <v>0</v>
      </c>
      <c r="K45" s="70">
        <f t="shared" ca="1" si="3"/>
        <v>0</v>
      </c>
      <c r="L45" s="70">
        <f ca="1">IF(K45&gt;0,入力設定!$B$9,0)</f>
        <v>0</v>
      </c>
      <c r="M45" s="70">
        <f t="shared" ca="1" si="4"/>
        <v>32221014.670016531</v>
      </c>
      <c r="N45" s="70">
        <f ca="1">IF(M45+AA45&lt;0.000001,0,IF(AND(K45&gt;0,入力設定!$B$8="期間短縮型",AA45&lt;0.000001,F45&gt;M45*C45/12),MAX(1,MIN(E45-1,IF(C45=0,ROUNDUP(M45/F45,0),ROUNDUP(-LN(1-M45*(C45/12)/F45)/LN(1+C45/12),0)))),MAX(1,E45-1)))</f>
        <v>380</v>
      </c>
      <c r="O45" s="70">
        <f t="shared" ca="1" si="5"/>
        <v>100604.4016546396</v>
      </c>
      <c r="P45" s="70">
        <f t="shared" ca="1" si="19"/>
        <v>32291749.203657787</v>
      </c>
      <c r="Q45" s="70">
        <f ca="1">IF(OR(A45&gt;入力設定!$B$6*12,P45+AC45&lt;0.000001),0,IF(P45&lt;0.000001,Q44,IF(AE45=1,IF(C45=0,P45/MAX(1,入力設定!$B$6*12-A45+1),P45*(C45/12)/(1-(1+C45/12)^(-MAX(1,入力設定!$B$6*12-A45+1)))),Q44)))</f>
        <v>100604.4016546396</v>
      </c>
      <c r="R45" s="70">
        <f ca="1">IF(P45+AC45&lt;0.000001,0,IF(A45=入力設定!$B$6*12,P45+AB45+AC45,MIN(Q45,P45+AB45+AC45)))</f>
        <v>100604.4016546396</v>
      </c>
      <c r="S45" s="70">
        <f t="shared" ca="1" si="6"/>
        <v>29869.868013383457</v>
      </c>
      <c r="T45" s="70">
        <f t="shared" ca="1" si="7"/>
        <v>70734.533641256145</v>
      </c>
      <c r="U45" s="70">
        <f t="shared" ca="1" si="8"/>
        <v>32221014.670016531</v>
      </c>
      <c r="V45" s="70">
        <f t="shared" ca="1" si="9"/>
        <v>0</v>
      </c>
      <c r="W45" s="70">
        <f t="shared" ca="1" si="10"/>
        <v>0</v>
      </c>
      <c r="X45" s="70">
        <f t="shared" ca="1" si="11"/>
        <v>0</v>
      </c>
      <c r="Y45" s="71">
        <f t="shared" ca="1" si="12"/>
        <v>29869.868013383457</v>
      </c>
      <c r="Z45" s="71">
        <f t="shared" ca="1" si="20"/>
        <v>0</v>
      </c>
      <c r="AA45" s="71">
        <f t="shared" ca="1" si="13"/>
        <v>0</v>
      </c>
      <c r="AB45" s="71">
        <f t="shared" ca="1" si="14"/>
        <v>29869.868013383457</v>
      </c>
      <c r="AC45" s="71">
        <f t="shared" ca="1" si="21"/>
        <v>0</v>
      </c>
      <c r="AD45" s="71">
        <f t="shared" ca="1" si="15"/>
        <v>0</v>
      </c>
      <c r="AE45" s="72">
        <f t="shared" si="16"/>
        <v>0</v>
      </c>
      <c r="AF45" s="73">
        <f>IF(A45&gt;入力設定!$B$6*12,0,IF(AND(ISNUMBER(C45),C45&gt;=0,C45&lt;=1),0,1))</f>
        <v>0</v>
      </c>
    </row>
    <row r="46" spans="1:32" ht="21" customHeight="1">
      <c r="A46" s="68">
        <f>41</f>
        <v>41</v>
      </c>
      <c r="B46" s="69">
        <f>EDATE(入力設定!$B$7,A46-1)</f>
        <v>47543</v>
      </c>
      <c r="C46" s="80">
        <f>INDEX(入力設定!$C$15:$C$24,INT((A46-1)/60)+1)</f>
        <v>1.11E-2</v>
      </c>
      <c r="D46" s="70">
        <f t="shared" ca="1" si="17"/>
        <v>32221014.670016531</v>
      </c>
      <c r="E46" s="70">
        <f t="shared" ca="1" si="18"/>
        <v>380</v>
      </c>
      <c r="F46" s="70">
        <f ca="1">IF(D46+Z46&lt;0.000001,0,IF(D46&lt;0.000001,F45,IF(OR(AE46=1,AND(K45&gt;0,入力設定!$B$8="返済額軽減型",入力設定!$B$11="翌月")),IF(C46=0,D46/MAX(1,E46),D46*(C46/12)/(1-(1+C46/12)^(-MAX(1,E46)))),F45)))</f>
        <v>100604.4016546396</v>
      </c>
      <c r="G46" s="70">
        <f t="shared" ca="1" si="0"/>
        <v>100604.4016546396</v>
      </c>
      <c r="H46" s="70">
        <f t="shared" ca="1" si="1"/>
        <v>29804.438569765291</v>
      </c>
      <c r="I46" s="70">
        <f t="shared" ca="1" si="2"/>
        <v>70799.963084874311</v>
      </c>
      <c r="J46" s="70">
        <f>SUMIFS(入力設定!$G$5:$G$24,入力設定!$F$5:$F$24,A46)</f>
        <v>0</v>
      </c>
      <c r="K46" s="70">
        <f t="shared" ca="1" si="3"/>
        <v>0</v>
      </c>
      <c r="L46" s="70">
        <f ca="1">IF(K46&gt;0,入力設定!$B$9,0)</f>
        <v>0</v>
      </c>
      <c r="M46" s="70">
        <f t="shared" ca="1" si="4"/>
        <v>32150214.706931658</v>
      </c>
      <c r="N46" s="70">
        <f ca="1">IF(M46+AA46&lt;0.000001,0,IF(AND(K46&gt;0,入力設定!$B$8="期間短縮型",AA46&lt;0.000001,F46&gt;M46*C46/12),MAX(1,MIN(E46-1,IF(C46=0,ROUNDUP(M46/F46,0),ROUNDUP(-LN(1-M46*(C46/12)/F46)/LN(1+C46/12),0)))),MAX(1,E46-1)))</f>
        <v>379</v>
      </c>
      <c r="O46" s="70">
        <f t="shared" ca="1" si="5"/>
        <v>100604.4016546396</v>
      </c>
      <c r="P46" s="70">
        <f t="shared" ca="1" si="19"/>
        <v>32221014.670016531</v>
      </c>
      <c r="Q46" s="70">
        <f ca="1">IF(OR(A46&gt;入力設定!$B$6*12,P46+AC46&lt;0.000001),0,IF(P46&lt;0.000001,Q45,IF(AE46=1,IF(C46=0,P46/MAX(1,入力設定!$B$6*12-A46+1),P46*(C46/12)/(1-(1+C46/12)^(-MAX(1,入力設定!$B$6*12-A46+1)))),Q45)))</f>
        <v>100604.4016546396</v>
      </c>
      <c r="R46" s="70">
        <f ca="1">IF(P46+AC46&lt;0.000001,0,IF(A46=入力設定!$B$6*12,P46+AB46+AC46,MIN(Q46,P46+AB46+AC46)))</f>
        <v>100604.4016546396</v>
      </c>
      <c r="S46" s="70">
        <f t="shared" ca="1" si="6"/>
        <v>29804.438569765291</v>
      </c>
      <c r="T46" s="70">
        <f t="shared" ca="1" si="7"/>
        <v>70799.963084874311</v>
      </c>
      <c r="U46" s="70">
        <f t="shared" ca="1" si="8"/>
        <v>32150214.706931658</v>
      </c>
      <c r="V46" s="70">
        <f t="shared" ca="1" si="9"/>
        <v>0</v>
      </c>
      <c r="W46" s="70">
        <f t="shared" ca="1" si="10"/>
        <v>0</v>
      </c>
      <c r="X46" s="70">
        <f t="shared" ca="1" si="11"/>
        <v>0</v>
      </c>
      <c r="Y46" s="71">
        <f t="shared" ca="1" si="12"/>
        <v>29804.438569765291</v>
      </c>
      <c r="Z46" s="71">
        <f t="shared" ca="1" si="20"/>
        <v>0</v>
      </c>
      <c r="AA46" s="71">
        <f t="shared" ca="1" si="13"/>
        <v>0</v>
      </c>
      <c r="AB46" s="71">
        <f t="shared" ca="1" si="14"/>
        <v>29804.438569765291</v>
      </c>
      <c r="AC46" s="71">
        <f t="shared" ca="1" si="21"/>
        <v>0</v>
      </c>
      <c r="AD46" s="71">
        <f t="shared" ca="1" si="15"/>
        <v>0</v>
      </c>
      <c r="AE46" s="72">
        <f t="shared" si="16"/>
        <v>0</v>
      </c>
      <c r="AF46" s="73">
        <f>IF(A46&gt;入力設定!$B$6*12,0,IF(AND(ISNUMBER(C46),C46&gt;=0,C46&lt;=1),0,1))</f>
        <v>0</v>
      </c>
    </row>
    <row r="47" spans="1:32" ht="21" customHeight="1">
      <c r="A47" s="68">
        <f>42</f>
        <v>42</v>
      </c>
      <c r="B47" s="69">
        <f>EDATE(入力設定!$B$7,A47-1)</f>
        <v>47574</v>
      </c>
      <c r="C47" s="80">
        <f>INDEX(入力設定!$C$15:$C$24,INT((A47-1)/60)+1)</f>
        <v>1.11E-2</v>
      </c>
      <c r="D47" s="70">
        <f t="shared" ca="1" si="17"/>
        <v>32150214.706931658</v>
      </c>
      <c r="E47" s="70">
        <f t="shared" ca="1" si="18"/>
        <v>379</v>
      </c>
      <c r="F47" s="70">
        <f ca="1">IF(D47+Z47&lt;0.000001,0,IF(D47&lt;0.000001,F46,IF(OR(AE47=1,AND(K46&gt;0,入力設定!$B$8="返済額軽減型",入力設定!$B$11="翌月")),IF(C47=0,D47/MAX(1,E47),D47*(C47/12)/(1-(1+C47/12)^(-MAX(1,E47)))),F46)))</f>
        <v>100604.4016546396</v>
      </c>
      <c r="G47" s="70">
        <f t="shared" ca="1" si="0"/>
        <v>100604.4016546396</v>
      </c>
      <c r="H47" s="70">
        <f t="shared" ca="1" si="1"/>
        <v>29738.948603911787</v>
      </c>
      <c r="I47" s="70">
        <f t="shared" ca="1" si="2"/>
        <v>70865.45305072781</v>
      </c>
      <c r="J47" s="70">
        <f>SUMIFS(入力設定!$G$5:$G$24,入力設定!$F$5:$F$24,A47)</f>
        <v>0</v>
      </c>
      <c r="K47" s="70">
        <f t="shared" ca="1" si="3"/>
        <v>0</v>
      </c>
      <c r="L47" s="70">
        <f ca="1">IF(K47&gt;0,入力設定!$B$9,0)</f>
        <v>0</v>
      </c>
      <c r="M47" s="70">
        <f t="shared" ca="1" si="4"/>
        <v>32079349.253880929</v>
      </c>
      <c r="N47" s="70">
        <f ca="1">IF(M47+AA47&lt;0.000001,0,IF(AND(K47&gt;0,入力設定!$B$8="期間短縮型",AA47&lt;0.000001,F47&gt;M47*C47/12),MAX(1,MIN(E47-1,IF(C47=0,ROUNDUP(M47/F47,0),ROUNDUP(-LN(1-M47*(C47/12)/F47)/LN(1+C47/12),0)))),MAX(1,E47-1)))</f>
        <v>378</v>
      </c>
      <c r="O47" s="70">
        <f t="shared" ca="1" si="5"/>
        <v>100604.4016546396</v>
      </c>
      <c r="P47" s="70">
        <f t="shared" ca="1" si="19"/>
        <v>32150214.706931658</v>
      </c>
      <c r="Q47" s="70">
        <f ca="1">IF(OR(A47&gt;入力設定!$B$6*12,P47+AC47&lt;0.000001),0,IF(P47&lt;0.000001,Q46,IF(AE47=1,IF(C47=0,P47/MAX(1,入力設定!$B$6*12-A47+1),P47*(C47/12)/(1-(1+C47/12)^(-MAX(1,入力設定!$B$6*12-A47+1)))),Q46)))</f>
        <v>100604.4016546396</v>
      </c>
      <c r="R47" s="70">
        <f ca="1">IF(P47+AC47&lt;0.000001,0,IF(A47=入力設定!$B$6*12,P47+AB47+AC47,MIN(Q47,P47+AB47+AC47)))</f>
        <v>100604.4016546396</v>
      </c>
      <c r="S47" s="70">
        <f t="shared" ca="1" si="6"/>
        <v>29738.948603911787</v>
      </c>
      <c r="T47" s="70">
        <f t="shared" ca="1" si="7"/>
        <v>70865.45305072781</v>
      </c>
      <c r="U47" s="70">
        <f t="shared" ca="1" si="8"/>
        <v>32079349.253880929</v>
      </c>
      <c r="V47" s="70">
        <f t="shared" ca="1" si="9"/>
        <v>0</v>
      </c>
      <c r="W47" s="70">
        <f t="shared" ca="1" si="10"/>
        <v>0</v>
      </c>
      <c r="X47" s="70">
        <f t="shared" ca="1" si="11"/>
        <v>0</v>
      </c>
      <c r="Y47" s="71">
        <f t="shared" ca="1" si="12"/>
        <v>29738.948603911787</v>
      </c>
      <c r="Z47" s="71">
        <f t="shared" ca="1" si="20"/>
        <v>0</v>
      </c>
      <c r="AA47" s="71">
        <f t="shared" ca="1" si="13"/>
        <v>0</v>
      </c>
      <c r="AB47" s="71">
        <f t="shared" ca="1" si="14"/>
        <v>29738.948603911787</v>
      </c>
      <c r="AC47" s="71">
        <f t="shared" ca="1" si="21"/>
        <v>0</v>
      </c>
      <c r="AD47" s="71">
        <f t="shared" ca="1" si="15"/>
        <v>0</v>
      </c>
      <c r="AE47" s="72">
        <f t="shared" si="16"/>
        <v>0</v>
      </c>
      <c r="AF47" s="73">
        <f>IF(A47&gt;入力設定!$B$6*12,0,IF(AND(ISNUMBER(C47),C47&gt;=0,C47&lt;=1),0,1))</f>
        <v>0</v>
      </c>
    </row>
    <row r="48" spans="1:32" ht="21" customHeight="1">
      <c r="A48" s="68">
        <f>43</f>
        <v>43</v>
      </c>
      <c r="B48" s="69">
        <f>EDATE(入力設定!$B$7,A48-1)</f>
        <v>47604</v>
      </c>
      <c r="C48" s="80">
        <f>INDEX(入力設定!$C$15:$C$24,INT((A48-1)/60)+1)</f>
        <v>1.11E-2</v>
      </c>
      <c r="D48" s="70">
        <f t="shared" ca="1" si="17"/>
        <v>32079349.253880929</v>
      </c>
      <c r="E48" s="70">
        <f t="shared" ca="1" si="18"/>
        <v>378</v>
      </c>
      <c r="F48" s="70">
        <f ca="1">IF(D48+Z48&lt;0.000001,0,IF(D48&lt;0.000001,F47,IF(OR(AE48=1,AND(K47&gt;0,入力設定!$B$8="返済額軽減型",入力設定!$B$11="翌月")),IF(C48=0,D48/MAX(1,E48),D48*(C48/12)/(1-(1+C48/12)^(-MAX(1,E48)))),F47)))</f>
        <v>100604.4016546396</v>
      </c>
      <c r="G48" s="70">
        <f t="shared" ca="1" si="0"/>
        <v>100604.4016546396</v>
      </c>
      <c r="H48" s="70">
        <f t="shared" ca="1" si="1"/>
        <v>29673.398059839863</v>
      </c>
      <c r="I48" s="70">
        <f t="shared" ca="1" si="2"/>
        <v>70931.003594799738</v>
      </c>
      <c r="J48" s="70">
        <f>SUMIFS(入力設定!$G$5:$G$24,入力設定!$F$5:$F$24,A48)</f>
        <v>0</v>
      </c>
      <c r="K48" s="70">
        <f t="shared" ca="1" si="3"/>
        <v>0</v>
      </c>
      <c r="L48" s="70">
        <f ca="1">IF(K48&gt;0,入力設定!$B$9,0)</f>
        <v>0</v>
      </c>
      <c r="M48" s="70">
        <f t="shared" ca="1" si="4"/>
        <v>32008418.250286128</v>
      </c>
      <c r="N48" s="70">
        <f ca="1">IF(M48+AA48&lt;0.000001,0,IF(AND(K48&gt;0,入力設定!$B$8="期間短縮型",AA48&lt;0.000001,F48&gt;M48*C48/12),MAX(1,MIN(E48-1,IF(C48=0,ROUNDUP(M48/F48,0),ROUNDUP(-LN(1-M48*(C48/12)/F48)/LN(1+C48/12),0)))),MAX(1,E48-1)))</f>
        <v>377</v>
      </c>
      <c r="O48" s="70">
        <f t="shared" ca="1" si="5"/>
        <v>100604.4016546396</v>
      </c>
      <c r="P48" s="70">
        <f t="shared" ca="1" si="19"/>
        <v>32079349.253880929</v>
      </c>
      <c r="Q48" s="70">
        <f ca="1">IF(OR(A48&gt;入力設定!$B$6*12,P48+AC48&lt;0.000001),0,IF(P48&lt;0.000001,Q47,IF(AE48=1,IF(C48=0,P48/MAX(1,入力設定!$B$6*12-A48+1),P48*(C48/12)/(1-(1+C48/12)^(-MAX(1,入力設定!$B$6*12-A48+1)))),Q47)))</f>
        <v>100604.4016546396</v>
      </c>
      <c r="R48" s="70">
        <f ca="1">IF(P48+AC48&lt;0.000001,0,IF(A48=入力設定!$B$6*12,P48+AB48+AC48,MIN(Q48,P48+AB48+AC48)))</f>
        <v>100604.4016546396</v>
      </c>
      <c r="S48" s="70">
        <f t="shared" ca="1" si="6"/>
        <v>29673.398059839863</v>
      </c>
      <c r="T48" s="70">
        <f t="shared" ca="1" si="7"/>
        <v>70931.003594799738</v>
      </c>
      <c r="U48" s="70">
        <f t="shared" ca="1" si="8"/>
        <v>32008418.250286128</v>
      </c>
      <c r="V48" s="70">
        <f t="shared" ca="1" si="9"/>
        <v>0</v>
      </c>
      <c r="W48" s="70">
        <f t="shared" ca="1" si="10"/>
        <v>0</v>
      </c>
      <c r="X48" s="70">
        <f t="shared" ca="1" si="11"/>
        <v>0</v>
      </c>
      <c r="Y48" s="71">
        <f t="shared" ca="1" si="12"/>
        <v>29673.398059839863</v>
      </c>
      <c r="Z48" s="71">
        <f t="shared" ca="1" si="20"/>
        <v>0</v>
      </c>
      <c r="AA48" s="71">
        <f t="shared" ca="1" si="13"/>
        <v>0</v>
      </c>
      <c r="AB48" s="71">
        <f t="shared" ca="1" si="14"/>
        <v>29673.398059839863</v>
      </c>
      <c r="AC48" s="71">
        <f t="shared" ca="1" si="21"/>
        <v>0</v>
      </c>
      <c r="AD48" s="71">
        <f t="shared" ca="1" si="15"/>
        <v>0</v>
      </c>
      <c r="AE48" s="72">
        <f t="shared" si="16"/>
        <v>0</v>
      </c>
      <c r="AF48" s="73">
        <f>IF(A48&gt;入力設定!$B$6*12,0,IF(AND(ISNUMBER(C48),C48&gt;=0,C48&lt;=1),0,1))</f>
        <v>0</v>
      </c>
    </row>
    <row r="49" spans="1:32" ht="21" customHeight="1">
      <c r="A49" s="68">
        <f>44</f>
        <v>44</v>
      </c>
      <c r="B49" s="69">
        <f>EDATE(入力設定!$B$7,A49-1)</f>
        <v>47635</v>
      </c>
      <c r="C49" s="80">
        <f>INDEX(入力設定!$C$15:$C$24,INT((A49-1)/60)+1)</f>
        <v>1.11E-2</v>
      </c>
      <c r="D49" s="70">
        <f t="shared" ca="1" si="17"/>
        <v>32008418.250286128</v>
      </c>
      <c r="E49" s="70">
        <f t="shared" ca="1" si="18"/>
        <v>377</v>
      </c>
      <c r="F49" s="70">
        <f ca="1">IF(D49+Z49&lt;0.000001,0,IF(D49&lt;0.000001,F48,IF(OR(AE49=1,AND(K48&gt;0,入力設定!$B$8="返済額軽減型",入力設定!$B$11="翌月")),IF(C49=0,D49/MAX(1,E49),D49*(C49/12)/(1-(1+C49/12)^(-MAX(1,E49)))),F48)))</f>
        <v>100604.4016546396</v>
      </c>
      <c r="G49" s="70">
        <f t="shared" ca="1" si="0"/>
        <v>100604.4016546396</v>
      </c>
      <c r="H49" s="70">
        <f t="shared" ca="1" si="1"/>
        <v>29607.786881514668</v>
      </c>
      <c r="I49" s="70">
        <f t="shared" ca="1" si="2"/>
        <v>70996.614773124937</v>
      </c>
      <c r="J49" s="70">
        <f>SUMIFS(入力設定!$G$5:$G$24,入力設定!$F$5:$F$24,A49)</f>
        <v>0</v>
      </c>
      <c r="K49" s="70">
        <f t="shared" ca="1" si="3"/>
        <v>0</v>
      </c>
      <c r="L49" s="70">
        <f ca="1">IF(K49&gt;0,入力設定!$B$9,0)</f>
        <v>0</v>
      </c>
      <c r="M49" s="70">
        <f t="shared" ca="1" si="4"/>
        <v>31937421.635513004</v>
      </c>
      <c r="N49" s="70">
        <f ca="1">IF(M49+AA49&lt;0.000001,0,IF(AND(K49&gt;0,入力設定!$B$8="期間短縮型",AA49&lt;0.000001,F49&gt;M49*C49/12),MAX(1,MIN(E49-1,IF(C49=0,ROUNDUP(M49/F49,0),ROUNDUP(-LN(1-M49*(C49/12)/F49)/LN(1+C49/12),0)))),MAX(1,E49-1)))</f>
        <v>376</v>
      </c>
      <c r="O49" s="70">
        <f t="shared" ca="1" si="5"/>
        <v>100604.4016546396</v>
      </c>
      <c r="P49" s="70">
        <f t="shared" ca="1" si="19"/>
        <v>32008418.250286128</v>
      </c>
      <c r="Q49" s="70">
        <f ca="1">IF(OR(A49&gt;入力設定!$B$6*12,P49+AC49&lt;0.000001),0,IF(P49&lt;0.000001,Q48,IF(AE49=1,IF(C49=0,P49/MAX(1,入力設定!$B$6*12-A49+1),P49*(C49/12)/(1-(1+C49/12)^(-MAX(1,入力設定!$B$6*12-A49+1)))),Q48)))</f>
        <v>100604.4016546396</v>
      </c>
      <c r="R49" s="70">
        <f ca="1">IF(P49+AC49&lt;0.000001,0,IF(A49=入力設定!$B$6*12,P49+AB49+AC49,MIN(Q49,P49+AB49+AC49)))</f>
        <v>100604.4016546396</v>
      </c>
      <c r="S49" s="70">
        <f t="shared" ca="1" si="6"/>
        <v>29607.786881514668</v>
      </c>
      <c r="T49" s="70">
        <f t="shared" ca="1" si="7"/>
        <v>70996.614773124937</v>
      </c>
      <c r="U49" s="70">
        <f t="shared" ca="1" si="8"/>
        <v>31937421.635513004</v>
      </c>
      <c r="V49" s="70">
        <f t="shared" ca="1" si="9"/>
        <v>0</v>
      </c>
      <c r="W49" s="70">
        <f t="shared" ca="1" si="10"/>
        <v>0</v>
      </c>
      <c r="X49" s="70">
        <f t="shared" ca="1" si="11"/>
        <v>0</v>
      </c>
      <c r="Y49" s="71">
        <f t="shared" ca="1" si="12"/>
        <v>29607.786881514668</v>
      </c>
      <c r="Z49" s="71">
        <f t="shared" ca="1" si="20"/>
        <v>0</v>
      </c>
      <c r="AA49" s="71">
        <f t="shared" ca="1" si="13"/>
        <v>0</v>
      </c>
      <c r="AB49" s="71">
        <f t="shared" ca="1" si="14"/>
        <v>29607.786881514668</v>
      </c>
      <c r="AC49" s="71">
        <f t="shared" ca="1" si="21"/>
        <v>0</v>
      </c>
      <c r="AD49" s="71">
        <f t="shared" ca="1" si="15"/>
        <v>0</v>
      </c>
      <c r="AE49" s="72">
        <f t="shared" si="16"/>
        <v>0</v>
      </c>
      <c r="AF49" s="73">
        <f>IF(A49&gt;入力設定!$B$6*12,0,IF(AND(ISNUMBER(C49),C49&gt;=0,C49&lt;=1),0,1))</f>
        <v>0</v>
      </c>
    </row>
    <row r="50" spans="1:32" ht="21" customHeight="1">
      <c r="A50" s="68">
        <f>45</f>
        <v>45</v>
      </c>
      <c r="B50" s="69">
        <f>EDATE(入力設定!$B$7,A50-1)</f>
        <v>47665</v>
      </c>
      <c r="C50" s="80">
        <f>INDEX(入力設定!$C$15:$C$24,INT((A50-1)/60)+1)</f>
        <v>1.11E-2</v>
      </c>
      <c r="D50" s="70">
        <f t="shared" ca="1" si="17"/>
        <v>31937421.635513004</v>
      </c>
      <c r="E50" s="70">
        <f t="shared" ca="1" si="18"/>
        <v>376</v>
      </c>
      <c r="F50" s="70">
        <f ca="1">IF(D50+Z50&lt;0.000001,0,IF(D50&lt;0.000001,F49,IF(OR(AE50=1,AND(K49&gt;0,入力設定!$B$8="返済額軽減型",入力設定!$B$11="翌月")),IF(C50=0,D50/MAX(1,E50),D50*(C50/12)/(1-(1+C50/12)^(-MAX(1,E50)))),F49)))</f>
        <v>100604.4016546396</v>
      </c>
      <c r="G50" s="70">
        <f t="shared" ca="1" si="0"/>
        <v>100604.4016546396</v>
      </c>
      <c r="H50" s="70">
        <f t="shared" ca="1" si="1"/>
        <v>29542.115012849532</v>
      </c>
      <c r="I50" s="70">
        <f t="shared" ca="1" si="2"/>
        <v>71062.286641790066</v>
      </c>
      <c r="J50" s="70">
        <f>SUMIFS(入力設定!$G$5:$G$24,入力設定!$F$5:$F$24,A50)</f>
        <v>0</v>
      </c>
      <c r="K50" s="70">
        <f t="shared" ca="1" si="3"/>
        <v>0</v>
      </c>
      <c r="L50" s="70">
        <f ca="1">IF(K50&gt;0,入力設定!$B$9,0)</f>
        <v>0</v>
      </c>
      <c r="M50" s="70">
        <f t="shared" ca="1" si="4"/>
        <v>31866359.348871212</v>
      </c>
      <c r="N50" s="70">
        <f ca="1">IF(M50+AA50&lt;0.000001,0,IF(AND(K50&gt;0,入力設定!$B$8="期間短縮型",AA50&lt;0.000001,F50&gt;M50*C50/12),MAX(1,MIN(E50-1,IF(C50=0,ROUNDUP(M50/F50,0),ROUNDUP(-LN(1-M50*(C50/12)/F50)/LN(1+C50/12),0)))),MAX(1,E50-1)))</f>
        <v>375</v>
      </c>
      <c r="O50" s="70">
        <f t="shared" ca="1" si="5"/>
        <v>100604.4016546396</v>
      </c>
      <c r="P50" s="70">
        <f t="shared" ca="1" si="19"/>
        <v>31937421.635513004</v>
      </c>
      <c r="Q50" s="70">
        <f ca="1">IF(OR(A50&gt;入力設定!$B$6*12,P50+AC50&lt;0.000001),0,IF(P50&lt;0.000001,Q49,IF(AE50=1,IF(C50=0,P50/MAX(1,入力設定!$B$6*12-A50+1),P50*(C50/12)/(1-(1+C50/12)^(-MAX(1,入力設定!$B$6*12-A50+1)))),Q49)))</f>
        <v>100604.4016546396</v>
      </c>
      <c r="R50" s="70">
        <f ca="1">IF(P50+AC50&lt;0.000001,0,IF(A50=入力設定!$B$6*12,P50+AB50+AC50,MIN(Q50,P50+AB50+AC50)))</f>
        <v>100604.4016546396</v>
      </c>
      <c r="S50" s="70">
        <f t="shared" ca="1" si="6"/>
        <v>29542.115012849532</v>
      </c>
      <c r="T50" s="70">
        <f t="shared" ca="1" si="7"/>
        <v>71062.286641790066</v>
      </c>
      <c r="U50" s="70">
        <f t="shared" ca="1" si="8"/>
        <v>31866359.348871212</v>
      </c>
      <c r="V50" s="70">
        <f t="shared" ca="1" si="9"/>
        <v>0</v>
      </c>
      <c r="W50" s="70">
        <f t="shared" ca="1" si="10"/>
        <v>0</v>
      </c>
      <c r="X50" s="70">
        <f t="shared" ca="1" si="11"/>
        <v>0</v>
      </c>
      <c r="Y50" s="71">
        <f t="shared" ca="1" si="12"/>
        <v>29542.115012849532</v>
      </c>
      <c r="Z50" s="71">
        <f t="shared" ca="1" si="20"/>
        <v>0</v>
      </c>
      <c r="AA50" s="71">
        <f t="shared" ca="1" si="13"/>
        <v>0</v>
      </c>
      <c r="AB50" s="71">
        <f t="shared" ca="1" si="14"/>
        <v>29542.115012849532</v>
      </c>
      <c r="AC50" s="71">
        <f t="shared" ca="1" si="21"/>
        <v>0</v>
      </c>
      <c r="AD50" s="71">
        <f t="shared" ca="1" si="15"/>
        <v>0</v>
      </c>
      <c r="AE50" s="72">
        <f t="shared" si="16"/>
        <v>0</v>
      </c>
      <c r="AF50" s="73">
        <f>IF(A50&gt;入力設定!$B$6*12,0,IF(AND(ISNUMBER(C50),C50&gt;=0,C50&lt;=1),0,1))</f>
        <v>0</v>
      </c>
    </row>
    <row r="51" spans="1:32" ht="21" customHeight="1">
      <c r="A51" s="68">
        <f>46</f>
        <v>46</v>
      </c>
      <c r="B51" s="69">
        <f>EDATE(入力設定!$B$7,A51-1)</f>
        <v>47696</v>
      </c>
      <c r="C51" s="80">
        <f>INDEX(入力設定!$C$15:$C$24,INT((A51-1)/60)+1)</f>
        <v>1.11E-2</v>
      </c>
      <c r="D51" s="70">
        <f t="shared" ca="1" si="17"/>
        <v>31866359.348871212</v>
      </c>
      <c r="E51" s="70">
        <f t="shared" ca="1" si="18"/>
        <v>375</v>
      </c>
      <c r="F51" s="70">
        <f ca="1">IF(D51+Z51&lt;0.000001,0,IF(D51&lt;0.000001,F50,IF(OR(AE51=1,AND(K50&gt;0,入力設定!$B$8="返済額軽減型",入力設定!$B$11="翌月")),IF(C51=0,D51/MAX(1,E51),D51*(C51/12)/(1-(1+C51/12)^(-MAX(1,E51)))),F50)))</f>
        <v>100604.4016546396</v>
      </c>
      <c r="G51" s="70">
        <f t="shared" ca="1" si="0"/>
        <v>100604.4016546396</v>
      </c>
      <c r="H51" s="70">
        <f t="shared" ca="1" si="1"/>
        <v>29476.382397705875</v>
      </c>
      <c r="I51" s="70">
        <f t="shared" ca="1" si="2"/>
        <v>71128.019256933723</v>
      </c>
      <c r="J51" s="70">
        <f>SUMIFS(入力設定!$G$5:$G$24,入力設定!$F$5:$F$24,A51)</f>
        <v>0</v>
      </c>
      <c r="K51" s="70">
        <f t="shared" ca="1" si="3"/>
        <v>0</v>
      </c>
      <c r="L51" s="70">
        <f ca="1">IF(K51&gt;0,入力設定!$B$9,0)</f>
        <v>0</v>
      </c>
      <c r="M51" s="70">
        <f t="shared" ca="1" si="4"/>
        <v>31795231.329614278</v>
      </c>
      <c r="N51" s="70">
        <f ca="1">IF(M51+AA51&lt;0.000001,0,IF(AND(K51&gt;0,入力設定!$B$8="期間短縮型",AA51&lt;0.000001,F51&gt;M51*C51/12),MAX(1,MIN(E51-1,IF(C51=0,ROUNDUP(M51/F51,0),ROUNDUP(-LN(1-M51*(C51/12)/F51)/LN(1+C51/12),0)))),MAX(1,E51-1)))</f>
        <v>374</v>
      </c>
      <c r="O51" s="70">
        <f t="shared" ca="1" si="5"/>
        <v>100604.4016546396</v>
      </c>
      <c r="P51" s="70">
        <f t="shared" ca="1" si="19"/>
        <v>31866359.348871212</v>
      </c>
      <c r="Q51" s="70">
        <f ca="1">IF(OR(A51&gt;入力設定!$B$6*12,P51+AC51&lt;0.000001),0,IF(P51&lt;0.000001,Q50,IF(AE51=1,IF(C51=0,P51/MAX(1,入力設定!$B$6*12-A51+1),P51*(C51/12)/(1-(1+C51/12)^(-MAX(1,入力設定!$B$6*12-A51+1)))),Q50)))</f>
        <v>100604.4016546396</v>
      </c>
      <c r="R51" s="70">
        <f ca="1">IF(P51+AC51&lt;0.000001,0,IF(A51=入力設定!$B$6*12,P51+AB51+AC51,MIN(Q51,P51+AB51+AC51)))</f>
        <v>100604.4016546396</v>
      </c>
      <c r="S51" s="70">
        <f t="shared" ca="1" si="6"/>
        <v>29476.382397705875</v>
      </c>
      <c r="T51" s="70">
        <f t="shared" ca="1" si="7"/>
        <v>71128.019256933723</v>
      </c>
      <c r="U51" s="70">
        <f t="shared" ca="1" si="8"/>
        <v>31795231.329614278</v>
      </c>
      <c r="V51" s="70">
        <f t="shared" ca="1" si="9"/>
        <v>0</v>
      </c>
      <c r="W51" s="70">
        <f t="shared" ca="1" si="10"/>
        <v>0</v>
      </c>
      <c r="X51" s="70">
        <f t="shared" ca="1" si="11"/>
        <v>0</v>
      </c>
      <c r="Y51" s="71">
        <f t="shared" ca="1" si="12"/>
        <v>29476.382397705875</v>
      </c>
      <c r="Z51" s="71">
        <f t="shared" ca="1" si="20"/>
        <v>0</v>
      </c>
      <c r="AA51" s="71">
        <f t="shared" ca="1" si="13"/>
        <v>0</v>
      </c>
      <c r="AB51" s="71">
        <f t="shared" ca="1" si="14"/>
        <v>29476.382397705875</v>
      </c>
      <c r="AC51" s="71">
        <f t="shared" ca="1" si="21"/>
        <v>0</v>
      </c>
      <c r="AD51" s="71">
        <f t="shared" ca="1" si="15"/>
        <v>0</v>
      </c>
      <c r="AE51" s="72">
        <f t="shared" si="16"/>
        <v>0</v>
      </c>
      <c r="AF51" s="73">
        <f>IF(A51&gt;入力設定!$B$6*12,0,IF(AND(ISNUMBER(C51),C51&gt;=0,C51&lt;=1),0,1))</f>
        <v>0</v>
      </c>
    </row>
    <row r="52" spans="1:32" ht="21" customHeight="1">
      <c r="A52" s="68">
        <f>47</f>
        <v>47</v>
      </c>
      <c r="B52" s="69">
        <f>EDATE(入力設定!$B$7,A52-1)</f>
        <v>47727</v>
      </c>
      <c r="C52" s="80">
        <f>INDEX(入力設定!$C$15:$C$24,INT((A52-1)/60)+1)</f>
        <v>1.11E-2</v>
      </c>
      <c r="D52" s="70">
        <f t="shared" ca="1" si="17"/>
        <v>31795231.329614278</v>
      </c>
      <c r="E52" s="70">
        <f t="shared" ca="1" si="18"/>
        <v>374</v>
      </c>
      <c r="F52" s="70">
        <f ca="1">IF(D52+Z52&lt;0.000001,0,IF(D52&lt;0.000001,F51,IF(OR(AE52=1,AND(K51&gt;0,入力設定!$B$8="返済額軽減型",入力設定!$B$11="翌月")),IF(C52=0,D52/MAX(1,E52),D52*(C52/12)/(1-(1+C52/12)^(-MAX(1,E52)))),F51)))</f>
        <v>100604.4016546396</v>
      </c>
      <c r="G52" s="70">
        <f t="shared" ca="1" si="0"/>
        <v>100604.4016546396</v>
      </c>
      <c r="H52" s="70">
        <f t="shared" ca="1" si="1"/>
        <v>29410.588979893208</v>
      </c>
      <c r="I52" s="70">
        <f t="shared" ca="1" si="2"/>
        <v>71193.812674746398</v>
      </c>
      <c r="J52" s="70">
        <f>SUMIFS(入力設定!$G$5:$G$24,入力設定!$F$5:$F$24,A52)</f>
        <v>0</v>
      </c>
      <c r="K52" s="70">
        <f t="shared" ca="1" si="3"/>
        <v>0</v>
      </c>
      <c r="L52" s="70">
        <f ca="1">IF(K52&gt;0,入力設定!$B$9,0)</f>
        <v>0</v>
      </c>
      <c r="M52" s="70">
        <f t="shared" ca="1" si="4"/>
        <v>31724037.516939532</v>
      </c>
      <c r="N52" s="70">
        <f ca="1">IF(M52+AA52&lt;0.000001,0,IF(AND(K52&gt;0,入力設定!$B$8="期間短縮型",AA52&lt;0.000001,F52&gt;M52*C52/12),MAX(1,MIN(E52-1,IF(C52=0,ROUNDUP(M52/F52,0),ROUNDUP(-LN(1-M52*(C52/12)/F52)/LN(1+C52/12),0)))),MAX(1,E52-1)))</f>
        <v>373</v>
      </c>
      <c r="O52" s="70">
        <f t="shared" ca="1" si="5"/>
        <v>100604.4016546396</v>
      </c>
      <c r="P52" s="70">
        <f t="shared" ca="1" si="19"/>
        <v>31795231.329614278</v>
      </c>
      <c r="Q52" s="70">
        <f ca="1">IF(OR(A52&gt;入力設定!$B$6*12,P52+AC52&lt;0.000001),0,IF(P52&lt;0.000001,Q51,IF(AE52=1,IF(C52=0,P52/MAX(1,入力設定!$B$6*12-A52+1),P52*(C52/12)/(1-(1+C52/12)^(-MAX(1,入力設定!$B$6*12-A52+1)))),Q51)))</f>
        <v>100604.4016546396</v>
      </c>
      <c r="R52" s="70">
        <f ca="1">IF(P52+AC52&lt;0.000001,0,IF(A52=入力設定!$B$6*12,P52+AB52+AC52,MIN(Q52,P52+AB52+AC52)))</f>
        <v>100604.4016546396</v>
      </c>
      <c r="S52" s="70">
        <f t="shared" ca="1" si="6"/>
        <v>29410.588979893208</v>
      </c>
      <c r="T52" s="70">
        <f t="shared" ca="1" si="7"/>
        <v>71193.812674746398</v>
      </c>
      <c r="U52" s="70">
        <f t="shared" ca="1" si="8"/>
        <v>31724037.516939532</v>
      </c>
      <c r="V52" s="70">
        <f t="shared" ca="1" si="9"/>
        <v>0</v>
      </c>
      <c r="W52" s="70">
        <f t="shared" ca="1" si="10"/>
        <v>0</v>
      </c>
      <c r="X52" s="70">
        <f t="shared" ca="1" si="11"/>
        <v>0</v>
      </c>
      <c r="Y52" s="71">
        <f t="shared" ca="1" si="12"/>
        <v>29410.588979893208</v>
      </c>
      <c r="Z52" s="71">
        <f t="shared" ca="1" si="20"/>
        <v>0</v>
      </c>
      <c r="AA52" s="71">
        <f t="shared" ca="1" si="13"/>
        <v>0</v>
      </c>
      <c r="AB52" s="71">
        <f t="shared" ca="1" si="14"/>
        <v>29410.588979893208</v>
      </c>
      <c r="AC52" s="71">
        <f t="shared" ca="1" si="21"/>
        <v>0</v>
      </c>
      <c r="AD52" s="71">
        <f t="shared" ca="1" si="15"/>
        <v>0</v>
      </c>
      <c r="AE52" s="72">
        <f t="shared" si="16"/>
        <v>0</v>
      </c>
      <c r="AF52" s="73">
        <f>IF(A52&gt;入力設定!$B$6*12,0,IF(AND(ISNUMBER(C52),C52&gt;=0,C52&lt;=1),0,1))</f>
        <v>0</v>
      </c>
    </row>
    <row r="53" spans="1:32" ht="21" customHeight="1">
      <c r="A53" s="68">
        <f>48</f>
        <v>48</v>
      </c>
      <c r="B53" s="69">
        <f>EDATE(入力設定!$B$7,A53-1)</f>
        <v>47757</v>
      </c>
      <c r="C53" s="80">
        <f>INDEX(入力設定!$C$15:$C$24,INT((A53-1)/60)+1)</f>
        <v>1.11E-2</v>
      </c>
      <c r="D53" s="70">
        <f t="shared" ca="1" si="17"/>
        <v>31724037.516939532</v>
      </c>
      <c r="E53" s="70">
        <f t="shared" ca="1" si="18"/>
        <v>373</v>
      </c>
      <c r="F53" s="70">
        <f ca="1">IF(D53+Z53&lt;0.000001,0,IF(D53&lt;0.000001,F52,IF(OR(AE53=1,AND(K52&gt;0,入力設定!$B$8="返済額軽減型",入力設定!$B$11="翌月")),IF(C53=0,D53/MAX(1,E53),D53*(C53/12)/(1-(1+C53/12)^(-MAX(1,E53)))),F52)))</f>
        <v>100604.4016546396</v>
      </c>
      <c r="G53" s="70">
        <f t="shared" ca="1" si="0"/>
        <v>100604.4016546396</v>
      </c>
      <c r="H53" s="70">
        <f t="shared" ca="1" si="1"/>
        <v>29344.73470316907</v>
      </c>
      <c r="I53" s="70">
        <f t="shared" ca="1" si="2"/>
        <v>71259.666951470528</v>
      </c>
      <c r="J53" s="70">
        <f>SUMIFS(入力設定!$G$5:$G$24,入力設定!$F$5:$F$24,A53)</f>
        <v>0</v>
      </c>
      <c r="K53" s="70">
        <f t="shared" ca="1" si="3"/>
        <v>0</v>
      </c>
      <c r="L53" s="70">
        <f ca="1">IF(K53&gt;0,入力設定!$B$9,0)</f>
        <v>0</v>
      </c>
      <c r="M53" s="70">
        <f t="shared" ca="1" si="4"/>
        <v>31652777.849988062</v>
      </c>
      <c r="N53" s="70">
        <f ca="1">IF(M53+AA53&lt;0.000001,0,IF(AND(K53&gt;0,入力設定!$B$8="期間短縮型",AA53&lt;0.000001,F53&gt;M53*C53/12),MAX(1,MIN(E53-1,IF(C53=0,ROUNDUP(M53/F53,0),ROUNDUP(-LN(1-M53*(C53/12)/F53)/LN(1+C53/12),0)))),MAX(1,E53-1)))</f>
        <v>372</v>
      </c>
      <c r="O53" s="70">
        <f t="shared" ca="1" si="5"/>
        <v>100604.4016546396</v>
      </c>
      <c r="P53" s="70">
        <f t="shared" ca="1" si="19"/>
        <v>31724037.516939532</v>
      </c>
      <c r="Q53" s="70">
        <f ca="1">IF(OR(A53&gt;入力設定!$B$6*12,P53+AC53&lt;0.000001),0,IF(P53&lt;0.000001,Q52,IF(AE53=1,IF(C53=0,P53/MAX(1,入力設定!$B$6*12-A53+1),P53*(C53/12)/(1-(1+C53/12)^(-MAX(1,入力設定!$B$6*12-A53+1)))),Q52)))</f>
        <v>100604.4016546396</v>
      </c>
      <c r="R53" s="70">
        <f ca="1">IF(P53+AC53&lt;0.000001,0,IF(A53=入力設定!$B$6*12,P53+AB53+AC53,MIN(Q53,P53+AB53+AC53)))</f>
        <v>100604.4016546396</v>
      </c>
      <c r="S53" s="70">
        <f t="shared" ca="1" si="6"/>
        <v>29344.73470316907</v>
      </c>
      <c r="T53" s="70">
        <f t="shared" ca="1" si="7"/>
        <v>71259.666951470528</v>
      </c>
      <c r="U53" s="70">
        <f t="shared" ca="1" si="8"/>
        <v>31652777.849988062</v>
      </c>
      <c r="V53" s="70">
        <f t="shared" ca="1" si="9"/>
        <v>0</v>
      </c>
      <c r="W53" s="70">
        <f t="shared" ca="1" si="10"/>
        <v>0</v>
      </c>
      <c r="X53" s="70">
        <f t="shared" ca="1" si="11"/>
        <v>0</v>
      </c>
      <c r="Y53" s="71">
        <f t="shared" ca="1" si="12"/>
        <v>29344.73470316907</v>
      </c>
      <c r="Z53" s="71">
        <f t="shared" ca="1" si="20"/>
        <v>0</v>
      </c>
      <c r="AA53" s="71">
        <f t="shared" ca="1" si="13"/>
        <v>0</v>
      </c>
      <c r="AB53" s="71">
        <f t="shared" ca="1" si="14"/>
        <v>29344.73470316907</v>
      </c>
      <c r="AC53" s="71">
        <f t="shared" ca="1" si="21"/>
        <v>0</v>
      </c>
      <c r="AD53" s="71">
        <f t="shared" ca="1" si="15"/>
        <v>0</v>
      </c>
      <c r="AE53" s="72">
        <f t="shared" si="16"/>
        <v>0</v>
      </c>
      <c r="AF53" s="73">
        <f>IF(A53&gt;入力設定!$B$6*12,0,IF(AND(ISNUMBER(C53),C53&gt;=0,C53&lt;=1),0,1))</f>
        <v>0</v>
      </c>
    </row>
    <row r="54" spans="1:32" ht="21" customHeight="1">
      <c r="A54" s="68">
        <f>49</f>
        <v>49</v>
      </c>
      <c r="B54" s="69">
        <f>EDATE(入力設定!$B$7,A54-1)</f>
        <v>47788</v>
      </c>
      <c r="C54" s="80">
        <f>INDEX(入力設定!$C$15:$C$24,INT((A54-1)/60)+1)</f>
        <v>1.11E-2</v>
      </c>
      <c r="D54" s="70">
        <f t="shared" ca="1" si="17"/>
        <v>31652777.849988062</v>
      </c>
      <c r="E54" s="70">
        <f t="shared" ca="1" si="18"/>
        <v>372</v>
      </c>
      <c r="F54" s="70">
        <f ca="1">IF(D54+Z54&lt;0.000001,0,IF(D54&lt;0.000001,F53,IF(OR(AE54=1,AND(K53&gt;0,入力設定!$B$8="返済額軽減型",入力設定!$B$11="翌月")),IF(C54=0,D54/MAX(1,E54),D54*(C54/12)/(1-(1+C54/12)^(-MAX(1,E54)))),F53)))</f>
        <v>100604.4016546396</v>
      </c>
      <c r="G54" s="70">
        <f t="shared" ca="1" si="0"/>
        <v>100604.4016546396</v>
      </c>
      <c r="H54" s="70">
        <f t="shared" ca="1" si="1"/>
        <v>29278.819511238962</v>
      </c>
      <c r="I54" s="70">
        <f t="shared" ca="1" si="2"/>
        <v>71325.582143400636</v>
      </c>
      <c r="J54" s="70">
        <f>SUMIFS(入力設定!$G$5:$G$24,入力設定!$F$5:$F$24,A54)</f>
        <v>0</v>
      </c>
      <c r="K54" s="70">
        <f t="shared" ca="1" si="3"/>
        <v>0</v>
      </c>
      <c r="L54" s="70">
        <f ca="1">IF(K54&gt;0,入力設定!$B$9,0)</f>
        <v>0</v>
      </c>
      <c r="M54" s="70">
        <f t="shared" ca="1" si="4"/>
        <v>31581452.267844662</v>
      </c>
      <c r="N54" s="70">
        <f ca="1">IF(M54+AA54&lt;0.000001,0,IF(AND(K54&gt;0,入力設定!$B$8="期間短縮型",AA54&lt;0.000001,F54&gt;M54*C54/12),MAX(1,MIN(E54-1,IF(C54=0,ROUNDUP(M54/F54,0),ROUNDUP(-LN(1-M54*(C54/12)/F54)/LN(1+C54/12),0)))),MAX(1,E54-1)))</f>
        <v>371</v>
      </c>
      <c r="O54" s="70">
        <f t="shared" ca="1" si="5"/>
        <v>100604.4016546396</v>
      </c>
      <c r="P54" s="70">
        <f t="shared" ca="1" si="19"/>
        <v>31652777.849988062</v>
      </c>
      <c r="Q54" s="70">
        <f ca="1">IF(OR(A54&gt;入力設定!$B$6*12,P54+AC54&lt;0.000001),0,IF(P54&lt;0.000001,Q53,IF(AE54=1,IF(C54=0,P54/MAX(1,入力設定!$B$6*12-A54+1),P54*(C54/12)/(1-(1+C54/12)^(-MAX(1,入力設定!$B$6*12-A54+1)))),Q53)))</f>
        <v>100604.4016546396</v>
      </c>
      <c r="R54" s="70">
        <f ca="1">IF(P54+AC54&lt;0.000001,0,IF(A54=入力設定!$B$6*12,P54+AB54+AC54,MIN(Q54,P54+AB54+AC54)))</f>
        <v>100604.4016546396</v>
      </c>
      <c r="S54" s="70">
        <f t="shared" ca="1" si="6"/>
        <v>29278.819511238962</v>
      </c>
      <c r="T54" s="70">
        <f t="shared" ca="1" si="7"/>
        <v>71325.582143400636</v>
      </c>
      <c r="U54" s="70">
        <f t="shared" ca="1" si="8"/>
        <v>31581452.267844662</v>
      </c>
      <c r="V54" s="70">
        <f t="shared" ca="1" si="9"/>
        <v>0</v>
      </c>
      <c r="W54" s="70">
        <f t="shared" ca="1" si="10"/>
        <v>0</v>
      </c>
      <c r="X54" s="70">
        <f t="shared" ca="1" si="11"/>
        <v>0</v>
      </c>
      <c r="Y54" s="71">
        <f t="shared" ca="1" si="12"/>
        <v>29278.819511238962</v>
      </c>
      <c r="Z54" s="71">
        <f t="shared" ca="1" si="20"/>
        <v>0</v>
      </c>
      <c r="AA54" s="71">
        <f t="shared" ca="1" si="13"/>
        <v>0</v>
      </c>
      <c r="AB54" s="71">
        <f t="shared" ca="1" si="14"/>
        <v>29278.819511238962</v>
      </c>
      <c r="AC54" s="71">
        <f t="shared" ca="1" si="21"/>
        <v>0</v>
      </c>
      <c r="AD54" s="71">
        <f t="shared" ca="1" si="15"/>
        <v>0</v>
      </c>
      <c r="AE54" s="72">
        <f t="shared" si="16"/>
        <v>0</v>
      </c>
      <c r="AF54" s="73">
        <f>IF(A54&gt;入力設定!$B$6*12,0,IF(AND(ISNUMBER(C54),C54&gt;=0,C54&lt;=1),0,1))</f>
        <v>0</v>
      </c>
    </row>
    <row r="55" spans="1:32" ht="21" customHeight="1">
      <c r="A55" s="68">
        <f>50</f>
        <v>50</v>
      </c>
      <c r="B55" s="69">
        <f>EDATE(入力設定!$B$7,A55-1)</f>
        <v>47818</v>
      </c>
      <c r="C55" s="80">
        <f>INDEX(入力設定!$C$15:$C$24,INT((A55-1)/60)+1)</f>
        <v>1.11E-2</v>
      </c>
      <c r="D55" s="70">
        <f t="shared" ca="1" si="17"/>
        <v>31581452.267844662</v>
      </c>
      <c r="E55" s="70">
        <f t="shared" ca="1" si="18"/>
        <v>371</v>
      </c>
      <c r="F55" s="70">
        <f ca="1">IF(D55+Z55&lt;0.000001,0,IF(D55&lt;0.000001,F54,IF(OR(AE55=1,AND(K54&gt;0,入力設定!$B$8="返済額軽減型",入力設定!$B$11="翌月")),IF(C55=0,D55/MAX(1,E55),D55*(C55/12)/(1-(1+C55/12)^(-MAX(1,E55)))),F54)))</f>
        <v>100604.4016546396</v>
      </c>
      <c r="G55" s="70">
        <f t="shared" ca="1" si="0"/>
        <v>100604.4016546396</v>
      </c>
      <c r="H55" s="70">
        <f t="shared" ca="1" si="1"/>
        <v>29212.843347756312</v>
      </c>
      <c r="I55" s="70">
        <f t="shared" ca="1" si="2"/>
        <v>71391.558306883293</v>
      </c>
      <c r="J55" s="70">
        <f>SUMIFS(入力設定!$G$5:$G$24,入力設定!$F$5:$F$24,A55)</f>
        <v>0</v>
      </c>
      <c r="K55" s="70">
        <f t="shared" ca="1" si="3"/>
        <v>0</v>
      </c>
      <c r="L55" s="70">
        <f ca="1">IF(K55&gt;0,入力設定!$B$9,0)</f>
        <v>0</v>
      </c>
      <c r="M55" s="70">
        <f t="shared" ca="1" si="4"/>
        <v>31510060.709537778</v>
      </c>
      <c r="N55" s="70">
        <f ca="1">IF(M55+AA55&lt;0.000001,0,IF(AND(K55&gt;0,入力設定!$B$8="期間短縮型",AA55&lt;0.000001,F55&gt;M55*C55/12),MAX(1,MIN(E55-1,IF(C55=0,ROUNDUP(M55/F55,0),ROUNDUP(-LN(1-M55*(C55/12)/F55)/LN(1+C55/12),0)))),MAX(1,E55-1)))</f>
        <v>370</v>
      </c>
      <c r="O55" s="70">
        <f t="shared" ca="1" si="5"/>
        <v>100604.4016546396</v>
      </c>
      <c r="P55" s="70">
        <f t="shared" ca="1" si="19"/>
        <v>31581452.267844662</v>
      </c>
      <c r="Q55" s="70">
        <f ca="1">IF(OR(A55&gt;入力設定!$B$6*12,P55+AC55&lt;0.000001),0,IF(P55&lt;0.000001,Q54,IF(AE55=1,IF(C55=0,P55/MAX(1,入力設定!$B$6*12-A55+1),P55*(C55/12)/(1-(1+C55/12)^(-MAX(1,入力設定!$B$6*12-A55+1)))),Q54)))</f>
        <v>100604.4016546396</v>
      </c>
      <c r="R55" s="70">
        <f ca="1">IF(P55+AC55&lt;0.000001,0,IF(A55=入力設定!$B$6*12,P55+AB55+AC55,MIN(Q55,P55+AB55+AC55)))</f>
        <v>100604.4016546396</v>
      </c>
      <c r="S55" s="70">
        <f t="shared" ca="1" si="6"/>
        <v>29212.843347756312</v>
      </c>
      <c r="T55" s="70">
        <f t="shared" ca="1" si="7"/>
        <v>71391.558306883293</v>
      </c>
      <c r="U55" s="70">
        <f t="shared" ca="1" si="8"/>
        <v>31510060.709537778</v>
      </c>
      <c r="V55" s="70">
        <f t="shared" ca="1" si="9"/>
        <v>0</v>
      </c>
      <c r="W55" s="70">
        <f t="shared" ca="1" si="10"/>
        <v>0</v>
      </c>
      <c r="X55" s="70">
        <f t="shared" ca="1" si="11"/>
        <v>0</v>
      </c>
      <c r="Y55" s="71">
        <f t="shared" ca="1" si="12"/>
        <v>29212.843347756312</v>
      </c>
      <c r="Z55" s="71">
        <f t="shared" ca="1" si="20"/>
        <v>0</v>
      </c>
      <c r="AA55" s="71">
        <f t="shared" ca="1" si="13"/>
        <v>0</v>
      </c>
      <c r="AB55" s="71">
        <f t="shared" ca="1" si="14"/>
        <v>29212.843347756312</v>
      </c>
      <c r="AC55" s="71">
        <f t="shared" ca="1" si="21"/>
        <v>0</v>
      </c>
      <c r="AD55" s="71">
        <f t="shared" ca="1" si="15"/>
        <v>0</v>
      </c>
      <c r="AE55" s="72">
        <f t="shared" si="16"/>
        <v>0</v>
      </c>
      <c r="AF55" s="73">
        <f>IF(A55&gt;入力設定!$B$6*12,0,IF(AND(ISNUMBER(C55),C55&gt;=0,C55&lt;=1),0,1))</f>
        <v>0</v>
      </c>
    </row>
    <row r="56" spans="1:32" ht="21" customHeight="1">
      <c r="A56" s="68">
        <f>51</f>
        <v>51</v>
      </c>
      <c r="B56" s="69">
        <f>EDATE(入力設定!$B$7,A56-1)</f>
        <v>47849</v>
      </c>
      <c r="C56" s="80">
        <f>INDEX(入力設定!$C$15:$C$24,INT((A56-1)/60)+1)</f>
        <v>1.11E-2</v>
      </c>
      <c r="D56" s="70">
        <f t="shared" ca="1" si="17"/>
        <v>31510060.709537778</v>
      </c>
      <c r="E56" s="70">
        <f t="shared" ca="1" si="18"/>
        <v>370</v>
      </c>
      <c r="F56" s="70">
        <f ca="1">IF(D56+Z56&lt;0.000001,0,IF(D56&lt;0.000001,F55,IF(OR(AE56=1,AND(K55&gt;0,入力設定!$B$8="返済額軽減型",入力設定!$B$11="翌月")),IF(C56=0,D56/MAX(1,E56),D56*(C56/12)/(1-(1+C56/12)^(-MAX(1,E56)))),F55)))</f>
        <v>100604.4016546396</v>
      </c>
      <c r="G56" s="70">
        <f t="shared" ca="1" si="0"/>
        <v>100604.4016546396</v>
      </c>
      <c r="H56" s="70">
        <f t="shared" ca="1" si="1"/>
        <v>29146.806156322447</v>
      </c>
      <c r="I56" s="70">
        <f t="shared" ca="1" si="2"/>
        <v>71457.595498317154</v>
      </c>
      <c r="J56" s="70">
        <f>SUMIFS(入力設定!$G$5:$G$24,入力設定!$F$5:$F$24,A56)</f>
        <v>0</v>
      </c>
      <c r="K56" s="70">
        <f t="shared" ca="1" si="3"/>
        <v>0</v>
      </c>
      <c r="L56" s="70">
        <f ca="1">IF(K56&gt;0,入力設定!$B$9,0)</f>
        <v>0</v>
      </c>
      <c r="M56" s="70">
        <f t="shared" ca="1" si="4"/>
        <v>31438603.114039462</v>
      </c>
      <c r="N56" s="70">
        <f ca="1">IF(M56+AA56&lt;0.000001,0,IF(AND(K56&gt;0,入力設定!$B$8="期間短縮型",AA56&lt;0.000001,F56&gt;M56*C56/12),MAX(1,MIN(E56-1,IF(C56=0,ROUNDUP(M56/F56,0),ROUNDUP(-LN(1-M56*(C56/12)/F56)/LN(1+C56/12),0)))),MAX(1,E56-1)))</f>
        <v>369</v>
      </c>
      <c r="O56" s="70">
        <f t="shared" ca="1" si="5"/>
        <v>100604.4016546396</v>
      </c>
      <c r="P56" s="70">
        <f t="shared" ca="1" si="19"/>
        <v>31510060.709537778</v>
      </c>
      <c r="Q56" s="70">
        <f ca="1">IF(OR(A56&gt;入力設定!$B$6*12,P56+AC56&lt;0.000001),0,IF(P56&lt;0.000001,Q55,IF(AE56=1,IF(C56=0,P56/MAX(1,入力設定!$B$6*12-A56+1),P56*(C56/12)/(1-(1+C56/12)^(-MAX(1,入力設定!$B$6*12-A56+1)))),Q55)))</f>
        <v>100604.4016546396</v>
      </c>
      <c r="R56" s="70">
        <f ca="1">IF(P56+AC56&lt;0.000001,0,IF(A56=入力設定!$B$6*12,P56+AB56+AC56,MIN(Q56,P56+AB56+AC56)))</f>
        <v>100604.4016546396</v>
      </c>
      <c r="S56" s="70">
        <f t="shared" ca="1" si="6"/>
        <v>29146.806156322447</v>
      </c>
      <c r="T56" s="70">
        <f t="shared" ca="1" si="7"/>
        <v>71457.595498317154</v>
      </c>
      <c r="U56" s="70">
        <f t="shared" ca="1" si="8"/>
        <v>31438603.114039462</v>
      </c>
      <c r="V56" s="70">
        <f t="shared" ca="1" si="9"/>
        <v>0</v>
      </c>
      <c r="W56" s="70">
        <f t="shared" ca="1" si="10"/>
        <v>0</v>
      </c>
      <c r="X56" s="70">
        <f t="shared" ca="1" si="11"/>
        <v>0</v>
      </c>
      <c r="Y56" s="71">
        <f t="shared" ca="1" si="12"/>
        <v>29146.806156322447</v>
      </c>
      <c r="Z56" s="71">
        <f t="shared" ca="1" si="20"/>
        <v>0</v>
      </c>
      <c r="AA56" s="71">
        <f t="shared" ca="1" si="13"/>
        <v>0</v>
      </c>
      <c r="AB56" s="71">
        <f t="shared" ca="1" si="14"/>
        <v>29146.806156322447</v>
      </c>
      <c r="AC56" s="71">
        <f t="shared" ca="1" si="21"/>
        <v>0</v>
      </c>
      <c r="AD56" s="71">
        <f t="shared" ca="1" si="15"/>
        <v>0</v>
      </c>
      <c r="AE56" s="72">
        <f t="shared" si="16"/>
        <v>0</v>
      </c>
      <c r="AF56" s="73">
        <f>IF(A56&gt;入力設定!$B$6*12,0,IF(AND(ISNUMBER(C56),C56&gt;=0,C56&lt;=1),0,1))</f>
        <v>0</v>
      </c>
    </row>
    <row r="57" spans="1:32" ht="21" customHeight="1">
      <c r="A57" s="68">
        <f>52</f>
        <v>52</v>
      </c>
      <c r="B57" s="69">
        <f>EDATE(入力設定!$B$7,A57-1)</f>
        <v>47880</v>
      </c>
      <c r="C57" s="80">
        <f>INDEX(入力設定!$C$15:$C$24,INT((A57-1)/60)+1)</f>
        <v>1.11E-2</v>
      </c>
      <c r="D57" s="70">
        <f t="shared" ca="1" si="17"/>
        <v>31438603.114039462</v>
      </c>
      <c r="E57" s="70">
        <f t="shared" ca="1" si="18"/>
        <v>369</v>
      </c>
      <c r="F57" s="70">
        <f ca="1">IF(D57+Z57&lt;0.000001,0,IF(D57&lt;0.000001,F56,IF(OR(AE57=1,AND(K56&gt;0,入力設定!$B$8="返済額軽減型",入力設定!$B$11="翌月")),IF(C57=0,D57/MAX(1,E57),D57*(C57/12)/(1-(1+C57/12)^(-MAX(1,E57)))),F56)))</f>
        <v>100604.4016546396</v>
      </c>
      <c r="G57" s="70">
        <f t="shared" ca="1" si="0"/>
        <v>100604.4016546396</v>
      </c>
      <c r="H57" s="70">
        <f t="shared" ca="1" si="1"/>
        <v>29080.707880486501</v>
      </c>
      <c r="I57" s="70">
        <f t="shared" ca="1" si="2"/>
        <v>71523.6937741531</v>
      </c>
      <c r="J57" s="70">
        <f>SUMIFS(入力設定!$G$5:$G$24,入力設定!$F$5:$F$24,A57)</f>
        <v>0</v>
      </c>
      <c r="K57" s="70">
        <f t="shared" ca="1" si="3"/>
        <v>0</v>
      </c>
      <c r="L57" s="70">
        <f ca="1">IF(K57&gt;0,入力設定!$B$9,0)</f>
        <v>0</v>
      </c>
      <c r="M57" s="70">
        <f t="shared" ca="1" si="4"/>
        <v>31367079.42026531</v>
      </c>
      <c r="N57" s="70">
        <f ca="1">IF(M57+AA57&lt;0.000001,0,IF(AND(K57&gt;0,入力設定!$B$8="期間短縮型",AA57&lt;0.000001,F57&gt;M57*C57/12),MAX(1,MIN(E57-1,IF(C57=0,ROUNDUP(M57/F57,0),ROUNDUP(-LN(1-M57*(C57/12)/F57)/LN(1+C57/12),0)))),MAX(1,E57-1)))</f>
        <v>368</v>
      </c>
      <c r="O57" s="70">
        <f t="shared" ca="1" si="5"/>
        <v>100604.4016546396</v>
      </c>
      <c r="P57" s="70">
        <f t="shared" ca="1" si="19"/>
        <v>31438603.114039462</v>
      </c>
      <c r="Q57" s="70">
        <f ca="1">IF(OR(A57&gt;入力設定!$B$6*12,P57+AC57&lt;0.000001),0,IF(P57&lt;0.000001,Q56,IF(AE57=1,IF(C57=0,P57/MAX(1,入力設定!$B$6*12-A57+1),P57*(C57/12)/(1-(1+C57/12)^(-MAX(1,入力設定!$B$6*12-A57+1)))),Q56)))</f>
        <v>100604.4016546396</v>
      </c>
      <c r="R57" s="70">
        <f ca="1">IF(P57+AC57&lt;0.000001,0,IF(A57=入力設定!$B$6*12,P57+AB57+AC57,MIN(Q57,P57+AB57+AC57)))</f>
        <v>100604.4016546396</v>
      </c>
      <c r="S57" s="70">
        <f t="shared" ca="1" si="6"/>
        <v>29080.707880486501</v>
      </c>
      <c r="T57" s="70">
        <f t="shared" ca="1" si="7"/>
        <v>71523.6937741531</v>
      </c>
      <c r="U57" s="70">
        <f t="shared" ca="1" si="8"/>
        <v>31367079.42026531</v>
      </c>
      <c r="V57" s="70">
        <f t="shared" ca="1" si="9"/>
        <v>0</v>
      </c>
      <c r="W57" s="70">
        <f t="shared" ca="1" si="10"/>
        <v>0</v>
      </c>
      <c r="X57" s="70">
        <f t="shared" ca="1" si="11"/>
        <v>0</v>
      </c>
      <c r="Y57" s="71">
        <f t="shared" ca="1" si="12"/>
        <v>29080.707880486501</v>
      </c>
      <c r="Z57" s="71">
        <f t="shared" ca="1" si="20"/>
        <v>0</v>
      </c>
      <c r="AA57" s="71">
        <f t="shared" ca="1" si="13"/>
        <v>0</v>
      </c>
      <c r="AB57" s="71">
        <f t="shared" ca="1" si="14"/>
        <v>29080.707880486501</v>
      </c>
      <c r="AC57" s="71">
        <f t="shared" ca="1" si="21"/>
        <v>0</v>
      </c>
      <c r="AD57" s="71">
        <f t="shared" ca="1" si="15"/>
        <v>0</v>
      </c>
      <c r="AE57" s="72">
        <f t="shared" si="16"/>
        <v>0</v>
      </c>
      <c r="AF57" s="73">
        <f>IF(A57&gt;入力設定!$B$6*12,0,IF(AND(ISNUMBER(C57),C57&gt;=0,C57&lt;=1),0,1))</f>
        <v>0</v>
      </c>
    </row>
    <row r="58" spans="1:32" ht="21" customHeight="1">
      <c r="A58" s="68">
        <f>53</f>
        <v>53</v>
      </c>
      <c r="B58" s="69">
        <f>EDATE(入力設定!$B$7,A58-1)</f>
        <v>47908</v>
      </c>
      <c r="C58" s="80">
        <f>INDEX(入力設定!$C$15:$C$24,INT((A58-1)/60)+1)</f>
        <v>1.11E-2</v>
      </c>
      <c r="D58" s="70">
        <f t="shared" ca="1" si="17"/>
        <v>31367079.42026531</v>
      </c>
      <c r="E58" s="70">
        <f t="shared" ca="1" si="18"/>
        <v>368</v>
      </c>
      <c r="F58" s="70">
        <f ca="1">IF(D58+Z58&lt;0.000001,0,IF(D58&lt;0.000001,F57,IF(OR(AE58=1,AND(K57&gt;0,入力設定!$B$8="返済額軽減型",入力設定!$B$11="翌月")),IF(C58=0,D58/MAX(1,E58),D58*(C58/12)/(1-(1+C58/12)^(-MAX(1,E58)))),F57)))</f>
        <v>100604.4016546396</v>
      </c>
      <c r="G58" s="70">
        <f t="shared" ca="1" si="0"/>
        <v>100604.4016546396</v>
      </c>
      <c r="H58" s="70">
        <f t="shared" ca="1" si="1"/>
        <v>29014.54846374541</v>
      </c>
      <c r="I58" s="70">
        <f t="shared" ca="1" si="2"/>
        <v>71589.853190894195</v>
      </c>
      <c r="J58" s="70">
        <f>SUMIFS(入力設定!$G$5:$G$24,入力設定!$F$5:$F$24,A58)</f>
        <v>0</v>
      </c>
      <c r="K58" s="70">
        <f t="shared" ca="1" si="3"/>
        <v>0</v>
      </c>
      <c r="L58" s="70">
        <f ca="1">IF(K58&gt;0,入力設定!$B$9,0)</f>
        <v>0</v>
      </c>
      <c r="M58" s="70">
        <f t="shared" ca="1" si="4"/>
        <v>31295489.567074414</v>
      </c>
      <c r="N58" s="70">
        <f ca="1">IF(M58+AA58&lt;0.000001,0,IF(AND(K58&gt;0,入力設定!$B$8="期間短縮型",AA58&lt;0.000001,F58&gt;M58*C58/12),MAX(1,MIN(E58-1,IF(C58=0,ROUNDUP(M58/F58,0),ROUNDUP(-LN(1-M58*(C58/12)/F58)/LN(1+C58/12),0)))),MAX(1,E58-1)))</f>
        <v>367</v>
      </c>
      <c r="O58" s="70">
        <f t="shared" ca="1" si="5"/>
        <v>100604.4016546396</v>
      </c>
      <c r="P58" s="70">
        <f t="shared" ca="1" si="19"/>
        <v>31367079.42026531</v>
      </c>
      <c r="Q58" s="70">
        <f ca="1">IF(OR(A58&gt;入力設定!$B$6*12,P58+AC58&lt;0.000001),0,IF(P58&lt;0.000001,Q57,IF(AE58=1,IF(C58=0,P58/MAX(1,入力設定!$B$6*12-A58+1),P58*(C58/12)/(1-(1+C58/12)^(-MAX(1,入力設定!$B$6*12-A58+1)))),Q57)))</f>
        <v>100604.4016546396</v>
      </c>
      <c r="R58" s="70">
        <f ca="1">IF(P58+AC58&lt;0.000001,0,IF(A58=入力設定!$B$6*12,P58+AB58+AC58,MIN(Q58,P58+AB58+AC58)))</f>
        <v>100604.4016546396</v>
      </c>
      <c r="S58" s="70">
        <f t="shared" ca="1" si="6"/>
        <v>29014.54846374541</v>
      </c>
      <c r="T58" s="70">
        <f t="shared" ca="1" si="7"/>
        <v>71589.853190894195</v>
      </c>
      <c r="U58" s="70">
        <f t="shared" ca="1" si="8"/>
        <v>31295489.567074414</v>
      </c>
      <c r="V58" s="70">
        <f t="shared" ca="1" si="9"/>
        <v>0</v>
      </c>
      <c r="W58" s="70">
        <f t="shared" ca="1" si="10"/>
        <v>0</v>
      </c>
      <c r="X58" s="70">
        <f t="shared" ca="1" si="11"/>
        <v>0</v>
      </c>
      <c r="Y58" s="71">
        <f t="shared" ca="1" si="12"/>
        <v>29014.54846374541</v>
      </c>
      <c r="Z58" s="71">
        <f t="shared" ca="1" si="20"/>
        <v>0</v>
      </c>
      <c r="AA58" s="71">
        <f t="shared" ca="1" si="13"/>
        <v>0</v>
      </c>
      <c r="AB58" s="71">
        <f t="shared" ca="1" si="14"/>
        <v>29014.54846374541</v>
      </c>
      <c r="AC58" s="71">
        <f t="shared" ca="1" si="21"/>
        <v>0</v>
      </c>
      <c r="AD58" s="71">
        <f t="shared" ca="1" si="15"/>
        <v>0</v>
      </c>
      <c r="AE58" s="72">
        <f t="shared" si="16"/>
        <v>0</v>
      </c>
      <c r="AF58" s="73">
        <f>IF(A58&gt;入力設定!$B$6*12,0,IF(AND(ISNUMBER(C58),C58&gt;=0,C58&lt;=1),0,1))</f>
        <v>0</v>
      </c>
    </row>
    <row r="59" spans="1:32" ht="21" customHeight="1">
      <c r="A59" s="68">
        <f>54</f>
        <v>54</v>
      </c>
      <c r="B59" s="69">
        <f>EDATE(入力設定!$B$7,A59-1)</f>
        <v>47939</v>
      </c>
      <c r="C59" s="80">
        <f>INDEX(入力設定!$C$15:$C$24,INT((A59-1)/60)+1)</f>
        <v>1.11E-2</v>
      </c>
      <c r="D59" s="70">
        <f t="shared" ca="1" si="17"/>
        <v>31295489.567074414</v>
      </c>
      <c r="E59" s="70">
        <f t="shared" ca="1" si="18"/>
        <v>367</v>
      </c>
      <c r="F59" s="70">
        <f ca="1">IF(D59+Z59&lt;0.000001,0,IF(D59&lt;0.000001,F58,IF(OR(AE59=1,AND(K58&gt;0,入力設定!$B$8="返済額軽減型",入力設定!$B$11="翌月")),IF(C59=0,D59/MAX(1,E59),D59*(C59/12)/(1-(1+C59/12)^(-MAX(1,E59)))),F58)))</f>
        <v>100604.4016546396</v>
      </c>
      <c r="G59" s="70">
        <f t="shared" ca="1" si="0"/>
        <v>100604.4016546396</v>
      </c>
      <c r="H59" s="70">
        <f t="shared" ca="1" si="1"/>
        <v>28948.327849543832</v>
      </c>
      <c r="I59" s="70">
        <f t="shared" ca="1" si="2"/>
        <v>71656.073805095773</v>
      </c>
      <c r="J59" s="70">
        <f>SUMIFS(入力設定!$G$5:$G$24,入力設定!$F$5:$F$24,A59)</f>
        <v>0</v>
      </c>
      <c r="K59" s="70">
        <f t="shared" ca="1" si="3"/>
        <v>0</v>
      </c>
      <c r="L59" s="70">
        <f ca="1">IF(K59&gt;0,入力設定!$B$9,0)</f>
        <v>0</v>
      </c>
      <c r="M59" s="70">
        <f t="shared" ca="1" si="4"/>
        <v>31223833.493269317</v>
      </c>
      <c r="N59" s="70">
        <f ca="1">IF(M59+AA59&lt;0.000001,0,IF(AND(K59&gt;0,入力設定!$B$8="期間短縮型",AA59&lt;0.000001,F59&gt;M59*C59/12),MAX(1,MIN(E59-1,IF(C59=0,ROUNDUP(M59/F59,0),ROUNDUP(-LN(1-M59*(C59/12)/F59)/LN(1+C59/12),0)))),MAX(1,E59-1)))</f>
        <v>366</v>
      </c>
      <c r="O59" s="70">
        <f t="shared" ca="1" si="5"/>
        <v>100604.4016546396</v>
      </c>
      <c r="P59" s="70">
        <f t="shared" ca="1" si="19"/>
        <v>31295489.567074414</v>
      </c>
      <c r="Q59" s="70">
        <f ca="1">IF(OR(A59&gt;入力設定!$B$6*12,P59+AC59&lt;0.000001),0,IF(P59&lt;0.000001,Q58,IF(AE59=1,IF(C59=0,P59/MAX(1,入力設定!$B$6*12-A59+1),P59*(C59/12)/(1-(1+C59/12)^(-MAX(1,入力設定!$B$6*12-A59+1)))),Q58)))</f>
        <v>100604.4016546396</v>
      </c>
      <c r="R59" s="70">
        <f ca="1">IF(P59+AC59&lt;0.000001,0,IF(A59=入力設定!$B$6*12,P59+AB59+AC59,MIN(Q59,P59+AB59+AC59)))</f>
        <v>100604.4016546396</v>
      </c>
      <c r="S59" s="70">
        <f t="shared" ca="1" si="6"/>
        <v>28948.327849543832</v>
      </c>
      <c r="T59" s="70">
        <f t="shared" ca="1" si="7"/>
        <v>71656.073805095773</v>
      </c>
      <c r="U59" s="70">
        <f t="shared" ca="1" si="8"/>
        <v>31223833.493269317</v>
      </c>
      <c r="V59" s="70">
        <f t="shared" ca="1" si="9"/>
        <v>0</v>
      </c>
      <c r="W59" s="70">
        <f t="shared" ca="1" si="10"/>
        <v>0</v>
      </c>
      <c r="X59" s="70">
        <f t="shared" ca="1" si="11"/>
        <v>0</v>
      </c>
      <c r="Y59" s="71">
        <f t="shared" ca="1" si="12"/>
        <v>28948.327849543832</v>
      </c>
      <c r="Z59" s="71">
        <f t="shared" ca="1" si="20"/>
        <v>0</v>
      </c>
      <c r="AA59" s="71">
        <f t="shared" ca="1" si="13"/>
        <v>0</v>
      </c>
      <c r="AB59" s="71">
        <f t="shared" ca="1" si="14"/>
        <v>28948.327849543832</v>
      </c>
      <c r="AC59" s="71">
        <f t="shared" ca="1" si="21"/>
        <v>0</v>
      </c>
      <c r="AD59" s="71">
        <f t="shared" ca="1" si="15"/>
        <v>0</v>
      </c>
      <c r="AE59" s="72">
        <f t="shared" si="16"/>
        <v>0</v>
      </c>
      <c r="AF59" s="73">
        <f>IF(A59&gt;入力設定!$B$6*12,0,IF(AND(ISNUMBER(C59),C59&gt;=0,C59&lt;=1),0,1))</f>
        <v>0</v>
      </c>
    </row>
    <row r="60" spans="1:32" ht="21" customHeight="1">
      <c r="A60" s="68">
        <f>55</f>
        <v>55</v>
      </c>
      <c r="B60" s="69">
        <f>EDATE(入力設定!$B$7,A60-1)</f>
        <v>47969</v>
      </c>
      <c r="C60" s="80">
        <f>INDEX(入力設定!$C$15:$C$24,INT((A60-1)/60)+1)</f>
        <v>1.11E-2</v>
      </c>
      <c r="D60" s="70">
        <f t="shared" ca="1" si="17"/>
        <v>31223833.493269317</v>
      </c>
      <c r="E60" s="70">
        <f t="shared" ca="1" si="18"/>
        <v>366</v>
      </c>
      <c r="F60" s="70">
        <f ca="1">IF(D60+Z60&lt;0.000001,0,IF(D60&lt;0.000001,F59,IF(OR(AE60=1,AND(K59&gt;0,入力設定!$B$8="返済額軽減型",入力設定!$B$11="翌月")),IF(C60=0,D60/MAX(1,E60),D60*(C60/12)/(1-(1+C60/12)^(-MAX(1,E60)))),F59)))</f>
        <v>100604.4016546396</v>
      </c>
      <c r="G60" s="70">
        <f t="shared" ca="1" si="0"/>
        <v>100604.4016546396</v>
      </c>
      <c r="H60" s="70">
        <f t="shared" ca="1" si="1"/>
        <v>28882.045981274117</v>
      </c>
      <c r="I60" s="70">
        <f t="shared" ca="1" si="2"/>
        <v>71722.355673365484</v>
      </c>
      <c r="J60" s="70">
        <f>SUMIFS(入力設定!$G$5:$G$24,入力設定!$F$5:$F$24,A60)</f>
        <v>0</v>
      </c>
      <c r="K60" s="70">
        <f t="shared" ca="1" si="3"/>
        <v>0</v>
      </c>
      <c r="L60" s="70">
        <f ca="1">IF(K60&gt;0,入力設定!$B$9,0)</f>
        <v>0</v>
      </c>
      <c r="M60" s="70">
        <f t="shared" ca="1" si="4"/>
        <v>31152111.137595952</v>
      </c>
      <c r="N60" s="70">
        <f ca="1">IF(M60+AA60&lt;0.000001,0,IF(AND(K60&gt;0,入力設定!$B$8="期間短縮型",AA60&lt;0.000001,F60&gt;M60*C60/12),MAX(1,MIN(E60-1,IF(C60=0,ROUNDUP(M60/F60,0),ROUNDUP(-LN(1-M60*(C60/12)/F60)/LN(1+C60/12),0)))),MAX(1,E60-1)))</f>
        <v>365</v>
      </c>
      <c r="O60" s="70">
        <f t="shared" ca="1" si="5"/>
        <v>100604.4016546396</v>
      </c>
      <c r="P60" s="70">
        <f t="shared" ca="1" si="19"/>
        <v>31223833.493269317</v>
      </c>
      <c r="Q60" s="70">
        <f ca="1">IF(OR(A60&gt;入力設定!$B$6*12,P60+AC60&lt;0.000001),0,IF(P60&lt;0.000001,Q59,IF(AE60=1,IF(C60=0,P60/MAX(1,入力設定!$B$6*12-A60+1),P60*(C60/12)/(1-(1+C60/12)^(-MAX(1,入力設定!$B$6*12-A60+1)))),Q59)))</f>
        <v>100604.4016546396</v>
      </c>
      <c r="R60" s="70">
        <f ca="1">IF(P60+AC60&lt;0.000001,0,IF(A60=入力設定!$B$6*12,P60+AB60+AC60,MIN(Q60,P60+AB60+AC60)))</f>
        <v>100604.4016546396</v>
      </c>
      <c r="S60" s="70">
        <f t="shared" ca="1" si="6"/>
        <v>28882.045981274117</v>
      </c>
      <c r="T60" s="70">
        <f t="shared" ca="1" si="7"/>
        <v>71722.355673365484</v>
      </c>
      <c r="U60" s="70">
        <f t="shared" ca="1" si="8"/>
        <v>31152111.137595952</v>
      </c>
      <c r="V60" s="70">
        <f t="shared" ca="1" si="9"/>
        <v>0</v>
      </c>
      <c r="W60" s="70">
        <f t="shared" ca="1" si="10"/>
        <v>0</v>
      </c>
      <c r="X60" s="70">
        <f t="shared" ca="1" si="11"/>
        <v>0</v>
      </c>
      <c r="Y60" s="71">
        <f t="shared" ca="1" si="12"/>
        <v>28882.045981274117</v>
      </c>
      <c r="Z60" s="71">
        <f t="shared" ca="1" si="20"/>
        <v>0</v>
      </c>
      <c r="AA60" s="71">
        <f t="shared" ca="1" si="13"/>
        <v>0</v>
      </c>
      <c r="AB60" s="71">
        <f t="shared" ca="1" si="14"/>
        <v>28882.045981274117</v>
      </c>
      <c r="AC60" s="71">
        <f t="shared" ca="1" si="21"/>
        <v>0</v>
      </c>
      <c r="AD60" s="71">
        <f t="shared" ca="1" si="15"/>
        <v>0</v>
      </c>
      <c r="AE60" s="72">
        <f t="shared" si="16"/>
        <v>0</v>
      </c>
      <c r="AF60" s="73">
        <f>IF(A60&gt;入力設定!$B$6*12,0,IF(AND(ISNUMBER(C60),C60&gt;=0,C60&lt;=1),0,1))</f>
        <v>0</v>
      </c>
    </row>
    <row r="61" spans="1:32" ht="21" customHeight="1">
      <c r="A61" s="68">
        <f>56</f>
        <v>56</v>
      </c>
      <c r="B61" s="69">
        <f>EDATE(入力設定!$B$7,A61-1)</f>
        <v>48000</v>
      </c>
      <c r="C61" s="80">
        <f>INDEX(入力設定!$C$15:$C$24,INT((A61-1)/60)+1)</f>
        <v>1.11E-2</v>
      </c>
      <c r="D61" s="70">
        <f t="shared" ca="1" si="17"/>
        <v>31152111.137595952</v>
      </c>
      <c r="E61" s="70">
        <f t="shared" ca="1" si="18"/>
        <v>365</v>
      </c>
      <c r="F61" s="70">
        <f ca="1">IF(D61+Z61&lt;0.000001,0,IF(D61&lt;0.000001,F60,IF(OR(AE61=1,AND(K60&gt;0,入力設定!$B$8="返済額軽減型",入力設定!$B$11="翌月")),IF(C61=0,D61/MAX(1,E61),D61*(C61/12)/(1-(1+C61/12)^(-MAX(1,E61)))),F60)))</f>
        <v>100604.4016546396</v>
      </c>
      <c r="G61" s="70">
        <f t="shared" ca="1" si="0"/>
        <v>100604.4016546396</v>
      </c>
      <c r="H61" s="70">
        <f t="shared" ca="1" si="1"/>
        <v>28815.702802276257</v>
      </c>
      <c r="I61" s="70">
        <f t="shared" ca="1" si="2"/>
        <v>71788.698852363348</v>
      </c>
      <c r="J61" s="70">
        <f>SUMIFS(入力設定!$G$5:$G$24,入力設定!$F$5:$F$24,A61)</f>
        <v>0</v>
      </c>
      <c r="K61" s="70">
        <f t="shared" ca="1" si="3"/>
        <v>0</v>
      </c>
      <c r="L61" s="70">
        <f ca="1">IF(K61&gt;0,入力設定!$B$9,0)</f>
        <v>0</v>
      </c>
      <c r="M61" s="70">
        <f t="shared" ca="1" si="4"/>
        <v>31080322.438743588</v>
      </c>
      <c r="N61" s="70">
        <f ca="1">IF(M61+AA61&lt;0.000001,0,IF(AND(K61&gt;0,入力設定!$B$8="期間短縮型",AA61&lt;0.000001,F61&gt;M61*C61/12),MAX(1,MIN(E61-1,IF(C61=0,ROUNDUP(M61/F61,0),ROUNDUP(-LN(1-M61*(C61/12)/F61)/LN(1+C61/12),0)))),MAX(1,E61-1)))</f>
        <v>364</v>
      </c>
      <c r="O61" s="70">
        <f t="shared" ca="1" si="5"/>
        <v>100604.4016546396</v>
      </c>
      <c r="P61" s="70">
        <f t="shared" ca="1" si="19"/>
        <v>31152111.137595952</v>
      </c>
      <c r="Q61" s="70">
        <f ca="1">IF(OR(A61&gt;入力設定!$B$6*12,P61+AC61&lt;0.000001),0,IF(P61&lt;0.000001,Q60,IF(AE61=1,IF(C61=0,P61/MAX(1,入力設定!$B$6*12-A61+1),P61*(C61/12)/(1-(1+C61/12)^(-MAX(1,入力設定!$B$6*12-A61+1)))),Q60)))</f>
        <v>100604.4016546396</v>
      </c>
      <c r="R61" s="70">
        <f ca="1">IF(P61+AC61&lt;0.000001,0,IF(A61=入力設定!$B$6*12,P61+AB61+AC61,MIN(Q61,P61+AB61+AC61)))</f>
        <v>100604.4016546396</v>
      </c>
      <c r="S61" s="70">
        <f t="shared" ca="1" si="6"/>
        <v>28815.702802276257</v>
      </c>
      <c r="T61" s="70">
        <f t="shared" ca="1" si="7"/>
        <v>71788.698852363348</v>
      </c>
      <c r="U61" s="70">
        <f t="shared" ca="1" si="8"/>
        <v>31080322.438743588</v>
      </c>
      <c r="V61" s="70">
        <f t="shared" ca="1" si="9"/>
        <v>0</v>
      </c>
      <c r="W61" s="70">
        <f t="shared" ca="1" si="10"/>
        <v>0</v>
      </c>
      <c r="X61" s="70">
        <f t="shared" ca="1" si="11"/>
        <v>0</v>
      </c>
      <c r="Y61" s="71">
        <f t="shared" ca="1" si="12"/>
        <v>28815.702802276257</v>
      </c>
      <c r="Z61" s="71">
        <f t="shared" ca="1" si="20"/>
        <v>0</v>
      </c>
      <c r="AA61" s="71">
        <f t="shared" ca="1" si="13"/>
        <v>0</v>
      </c>
      <c r="AB61" s="71">
        <f t="shared" ca="1" si="14"/>
        <v>28815.702802276257</v>
      </c>
      <c r="AC61" s="71">
        <f t="shared" ca="1" si="21"/>
        <v>0</v>
      </c>
      <c r="AD61" s="71">
        <f t="shared" ca="1" si="15"/>
        <v>0</v>
      </c>
      <c r="AE61" s="72">
        <f t="shared" si="16"/>
        <v>0</v>
      </c>
      <c r="AF61" s="73">
        <f>IF(A61&gt;入力設定!$B$6*12,0,IF(AND(ISNUMBER(C61),C61&gt;=0,C61&lt;=1),0,1))</f>
        <v>0</v>
      </c>
    </row>
    <row r="62" spans="1:32" ht="21" customHeight="1">
      <c r="A62" s="68">
        <f>57</f>
        <v>57</v>
      </c>
      <c r="B62" s="69">
        <f>EDATE(入力設定!$B$7,A62-1)</f>
        <v>48030</v>
      </c>
      <c r="C62" s="80">
        <f>INDEX(入力設定!$C$15:$C$24,INT((A62-1)/60)+1)</f>
        <v>1.11E-2</v>
      </c>
      <c r="D62" s="70">
        <f t="shared" ca="1" si="17"/>
        <v>31080322.438743588</v>
      </c>
      <c r="E62" s="70">
        <f t="shared" ca="1" si="18"/>
        <v>364</v>
      </c>
      <c r="F62" s="70">
        <f ca="1">IF(D62+Z62&lt;0.000001,0,IF(D62&lt;0.000001,F61,IF(OR(AE62=1,AND(K61&gt;0,入力設定!$B$8="返済額軽減型",入力設定!$B$11="翌月")),IF(C62=0,D62/MAX(1,E62),D62*(C62/12)/(1-(1+C62/12)^(-MAX(1,E62)))),F61)))</f>
        <v>100604.4016546396</v>
      </c>
      <c r="G62" s="70">
        <f t="shared" ca="1" si="0"/>
        <v>100604.4016546396</v>
      </c>
      <c r="H62" s="70">
        <f t="shared" ca="1" si="1"/>
        <v>28749.298255837817</v>
      </c>
      <c r="I62" s="70">
        <f t="shared" ca="1" si="2"/>
        <v>71855.103398801788</v>
      </c>
      <c r="J62" s="70">
        <f>SUMIFS(入力設定!$G$5:$G$24,入力設定!$F$5:$F$24,A62)</f>
        <v>0</v>
      </c>
      <c r="K62" s="70">
        <f t="shared" ca="1" si="3"/>
        <v>0</v>
      </c>
      <c r="L62" s="70">
        <f ca="1">IF(K62&gt;0,入力設定!$B$9,0)</f>
        <v>0</v>
      </c>
      <c r="M62" s="70">
        <f t="shared" ca="1" si="4"/>
        <v>31008467.335344784</v>
      </c>
      <c r="N62" s="70">
        <f ca="1">IF(M62+AA62&lt;0.000001,0,IF(AND(K62&gt;0,入力設定!$B$8="期間短縮型",AA62&lt;0.000001,F62&gt;M62*C62/12),MAX(1,MIN(E62-1,IF(C62=0,ROUNDUP(M62/F62,0),ROUNDUP(-LN(1-M62*(C62/12)/F62)/LN(1+C62/12),0)))),MAX(1,E62-1)))</f>
        <v>363</v>
      </c>
      <c r="O62" s="70">
        <f t="shared" ca="1" si="5"/>
        <v>100604.4016546396</v>
      </c>
      <c r="P62" s="70">
        <f t="shared" ca="1" si="19"/>
        <v>31080322.438743588</v>
      </c>
      <c r="Q62" s="70">
        <f ca="1">IF(OR(A62&gt;入力設定!$B$6*12,P62+AC62&lt;0.000001),0,IF(P62&lt;0.000001,Q61,IF(AE62=1,IF(C62=0,P62/MAX(1,入力設定!$B$6*12-A62+1),P62*(C62/12)/(1-(1+C62/12)^(-MAX(1,入力設定!$B$6*12-A62+1)))),Q61)))</f>
        <v>100604.4016546396</v>
      </c>
      <c r="R62" s="70">
        <f ca="1">IF(P62+AC62&lt;0.000001,0,IF(A62=入力設定!$B$6*12,P62+AB62+AC62,MIN(Q62,P62+AB62+AC62)))</f>
        <v>100604.4016546396</v>
      </c>
      <c r="S62" s="70">
        <f t="shared" ca="1" si="6"/>
        <v>28749.298255837817</v>
      </c>
      <c r="T62" s="70">
        <f t="shared" ca="1" si="7"/>
        <v>71855.103398801788</v>
      </c>
      <c r="U62" s="70">
        <f t="shared" ca="1" si="8"/>
        <v>31008467.335344784</v>
      </c>
      <c r="V62" s="70">
        <f t="shared" ca="1" si="9"/>
        <v>0</v>
      </c>
      <c r="W62" s="70">
        <f t="shared" ca="1" si="10"/>
        <v>0</v>
      </c>
      <c r="X62" s="70">
        <f t="shared" ca="1" si="11"/>
        <v>0</v>
      </c>
      <c r="Y62" s="71">
        <f t="shared" ca="1" si="12"/>
        <v>28749.298255837817</v>
      </c>
      <c r="Z62" s="71">
        <f t="shared" ca="1" si="20"/>
        <v>0</v>
      </c>
      <c r="AA62" s="71">
        <f t="shared" ca="1" si="13"/>
        <v>0</v>
      </c>
      <c r="AB62" s="71">
        <f t="shared" ca="1" si="14"/>
        <v>28749.298255837817</v>
      </c>
      <c r="AC62" s="71">
        <f t="shared" ca="1" si="21"/>
        <v>0</v>
      </c>
      <c r="AD62" s="71">
        <f t="shared" ca="1" si="15"/>
        <v>0</v>
      </c>
      <c r="AE62" s="72">
        <f t="shared" si="16"/>
        <v>0</v>
      </c>
      <c r="AF62" s="73">
        <f>IF(A62&gt;入力設定!$B$6*12,0,IF(AND(ISNUMBER(C62),C62&gt;=0,C62&lt;=1),0,1))</f>
        <v>0</v>
      </c>
    </row>
    <row r="63" spans="1:32" ht="21" customHeight="1">
      <c r="A63" s="68">
        <f>58</f>
        <v>58</v>
      </c>
      <c r="B63" s="69">
        <f>EDATE(入力設定!$B$7,A63-1)</f>
        <v>48061</v>
      </c>
      <c r="C63" s="80">
        <f>INDEX(入力設定!$C$15:$C$24,INT((A63-1)/60)+1)</f>
        <v>1.11E-2</v>
      </c>
      <c r="D63" s="70">
        <f t="shared" ca="1" si="17"/>
        <v>31008467.335344784</v>
      </c>
      <c r="E63" s="70">
        <f t="shared" ca="1" si="18"/>
        <v>363</v>
      </c>
      <c r="F63" s="70">
        <f ca="1">IF(D63+Z63&lt;0.000001,0,IF(D63&lt;0.000001,F62,IF(OR(AE63=1,AND(K62&gt;0,入力設定!$B$8="返済額軽減型",入力設定!$B$11="翌月")),IF(C63=0,D63/MAX(1,E63),D63*(C63/12)/(1-(1+C63/12)^(-MAX(1,E63)))),F62)))</f>
        <v>100604.4016546396</v>
      </c>
      <c r="G63" s="70">
        <f t="shared" ca="1" si="0"/>
        <v>100604.4016546396</v>
      </c>
      <c r="H63" s="70">
        <f t="shared" ca="1" si="1"/>
        <v>28682.832285193927</v>
      </c>
      <c r="I63" s="70">
        <f t="shared" ca="1" si="2"/>
        <v>71921.569369445671</v>
      </c>
      <c r="J63" s="70">
        <f>SUMIFS(入力設定!$G$5:$G$24,入力設定!$F$5:$F$24,A63)</f>
        <v>0</v>
      </c>
      <c r="K63" s="70">
        <f t="shared" ca="1" si="3"/>
        <v>0</v>
      </c>
      <c r="L63" s="70">
        <f ca="1">IF(K63&gt;0,入力設定!$B$9,0)</f>
        <v>0</v>
      </c>
      <c r="M63" s="70">
        <f t="shared" ca="1" si="4"/>
        <v>30936545.765975337</v>
      </c>
      <c r="N63" s="70">
        <f ca="1">IF(M63+AA63&lt;0.000001,0,IF(AND(K63&gt;0,入力設定!$B$8="期間短縮型",AA63&lt;0.000001,F63&gt;M63*C63/12),MAX(1,MIN(E63-1,IF(C63=0,ROUNDUP(M63/F63,0),ROUNDUP(-LN(1-M63*(C63/12)/F63)/LN(1+C63/12),0)))),MAX(1,E63-1)))</f>
        <v>362</v>
      </c>
      <c r="O63" s="70">
        <f t="shared" ca="1" si="5"/>
        <v>100604.4016546396</v>
      </c>
      <c r="P63" s="70">
        <f t="shared" ca="1" si="19"/>
        <v>31008467.335344784</v>
      </c>
      <c r="Q63" s="70">
        <f ca="1">IF(OR(A63&gt;入力設定!$B$6*12,P63+AC63&lt;0.000001),0,IF(P63&lt;0.000001,Q62,IF(AE63=1,IF(C63=0,P63/MAX(1,入力設定!$B$6*12-A63+1),P63*(C63/12)/(1-(1+C63/12)^(-MAX(1,入力設定!$B$6*12-A63+1)))),Q62)))</f>
        <v>100604.4016546396</v>
      </c>
      <c r="R63" s="70">
        <f ca="1">IF(P63+AC63&lt;0.000001,0,IF(A63=入力設定!$B$6*12,P63+AB63+AC63,MIN(Q63,P63+AB63+AC63)))</f>
        <v>100604.4016546396</v>
      </c>
      <c r="S63" s="70">
        <f t="shared" ca="1" si="6"/>
        <v>28682.832285193927</v>
      </c>
      <c r="T63" s="70">
        <f t="shared" ca="1" si="7"/>
        <v>71921.569369445671</v>
      </c>
      <c r="U63" s="70">
        <f t="shared" ca="1" si="8"/>
        <v>30936545.765975337</v>
      </c>
      <c r="V63" s="70">
        <f t="shared" ca="1" si="9"/>
        <v>0</v>
      </c>
      <c r="W63" s="70">
        <f t="shared" ca="1" si="10"/>
        <v>0</v>
      </c>
      <c r="X63" s="70">
        <f t="shared" ca="1" si="11"/>
        <v>0</v>
      </c>
      <c r="Y63" s="71">
        <f t="shared" ca="1" si="12"/>
        <v>28682.832285193927</v>
      </c>
      <c r="Z63" s="71">
        <f t="shared" ca="1" si="20"/>
        <v>0</v>
      </c>
      <c r="AA63" s="71">
        <f t="shared" ca="1" si="13"/>
        <v>0</v>
      </c>
      <c r="AB63" s="71">
        <f t="shared" ca="1" si="14"/>
        <v>28682.832285193927</v>
      </c>
      <c r="AC63" s="71">
        <f t="shared" ca="1" si="21"/>
        <v>0</v>
      </c>
      <c r="AD63" s="71">
        <f t="shared" ca="1" si="15"/>
        <v>0</v>
      </c>
      <c r="AE63" s="72">
        <f t="shared" si="16"/>
        <v>0</v>
      </c>
      <c r="AF63" s="73">
        <f>IF(A63&gt;入力設定!$B$6*12,0,IF(AND(ISNUMBER(C63),C63&gt;=0,C63&lt;=1),0,1))</f>
        <v>0</v>
      </c>
    </row>
    <row r="64" spans="1:32" ht="21" customHeight="1">
      <c r="A64" s="68">
        <f>59</f>
        <v>59</v>
      </c>
      <c r="B64" s="69">
        <f>EDATE(入力設定!$B$7,A64-1)</f>
        <v>48092</v>
      </c>
      <c r="C64" s="80">
        <f>INDEX(入力設定!$C$15:$C$24,INT((A64-1)/60)+1)</f>
        <v>1.11E-2</v>
      </c>
      <c r="D64" s="70">
        <f t="shared" ca="1" si="17"/>
        <v>30936545.765975337</v>
      </c>
      <c r="E64" s="70">
        <f t="shared" ca="1" si="18"/>
        <v>362</v>
      </c>
      <c r="F64" s="70">
        <f ca="1">IF(D64+Z64&lt;0.000001,0,IF(D64&lt;0.000001,F63,IF(OR(AE64=1,AND(K63&gt;0,入力設定!$B$8="返済額軽減型",入力設定!$B$11="翌月")),IF(C64=0,D64/MAX(1,E64),D64*(C64/12)/(1-(1+C64/12)^(-MAX(1,E64)))),F63)))</f>
        <v>100604.4016546396</v>
      </c>
      <c r="G64" s="70">
        <f t="shared" ca="1" si="0"/>
        <v>100604.4016546396</v>
      </c>
      <c r="H64" s="70">
        <f t="shared" ca="1" si="1"/>
        <v>28616.304833527189</v>
      </c>
      <c r="I64" s="70">
        <f t="shared" ca="1" si="2"/>
        <v>71988.096821112413</v>
      </c>
      <c r="J64" s="70">
        <f>SUMIFS(入力設定!$G$5:$G$24,入力設定!$F$5:$F$24,A64)</f>
        <v>0</v>
      </c>
      <c r="K64" s="70">
        <f t="shared" ca="1" si="3"/>
        <v>0</v>
      </c>
      <c r="L64" s="70">
        <f ca="1">IF(K64&gt;0,入力設定!$B$9,0)</f>
        <v>0</v>
      </c>
      <c r="M64" s="70">
        <f t="shared" ca="1" si="4"/>
        <v>30864557.669154227</v>
      </c>
      <c r="N64" s="70">
        <f ca="1">IF(M64+AA64&lt;0.000001,0,IF(AND(K64&gt;0,入力設定!$B$8="期間短縮型",AA64&lt;0.000001,F64&gt;M64*C64/12),MAX(1,MIN(E64-1,IF(C64=0,ROUNDUP(M64/F64,0),ROUNDUP(-LN(1-M64*(C64/12)/F64)/LN(1+C64/12),0)))),MAX(1,E64-1)))</f>
        <v>361</v>
      </c>
      <c r="O64" s="70">
        <f t="shared" ca="1" si="5"/>
        <v>100604.4016546396</v>
      </c>
      <c r="P64" s="70">
        <f t="shared" ca="1" si="19"/>
        <v>30936545.765975337</v>
      </c>
      <c r="Q64" s="70">
        <f ca="1">IF(OR(A64&gt;入力設定!$B$6*12,P64+AC64&lt;0.000001),0,IF(P64&lt;0.000001,Q63,IF(AE64=1,IF(C64=0,P64/MAX(1,入力設定!$B$6*12-A64+1),P64*(C64/12)/(1-(1+C64/12)^(-MAX(1,入力設定!$B$6*12-A64+1)))),Q63)))</f>
        <v>100604.4016546396</v>
      </c>
      <c r="R64" s="70">
        <f ca="1">IF(P64+AC64&lt;0.000001,0,IF(A64=入力設定!$B$6*12,P64+AB64+AC64,MIN(Q64,P64+AB64+AC64)))</f>
        <v>100604.4016546396</v>
      </c>
      <c r="S64" s="70">
        <f t="shared" ca="1" si="6"/>
        <v>28616.304833527189</v>
      </c>
      <c r="T64" s="70">
        <f t="shared" ca="1" si="7"/>
        <v>71988.096821112413</v>
      </c>
      <c r="U64" s="70">
        <f t="shared" ca="1" si="8"/>
        <v>30864557.669154227</v>
      </c>
      <c r="V64" s="70">
        <f t="shared" ca="1" si="9"/>
        <v>0</v>
      </c>
      <c r="W64" s="70">
        <f t="shared" ca="1" si="10"/>
        <v>0</v>
      </c>
      <c r="X64" s="70">
        <f t="shared" ca="1" si="11"/>
        <v>0</v>
      </c>
      <c r="Y64" s="71">
        <f t="shared" ca="1" si="12"/>
        <v>28616.304833527189</v>
      </c>
      <c r="Z64" s="71">
        <f t="shared" ca="1" si="20"/>
        <v>0</v>
      </c>
      <c r="AA64" s="71">
        <f t="shared" ca="1" si="13"/>
        <v>0</v>
      </c>
      <c r="AB64" s="71">
        <f t="shared" ca="1" si="14"/>
        <v>28616.304833527189</v>
      </c>
      <c r="AC64" s="71">
        <f t="shared" ca="1" si="21"/>
        <v>0</v>
      </c>
      <c r="AD64" s="71">
        <f t="shared" ca="1" si="15"/>
        <v>0</v>
      </c>
      <c r="AE64" s="72">
        <f t="shared" si="16"/>
        <v>0</v>
      </c>
      <c r="AF64" s="73">
        <f>IF(A64&gt;入力設定!$B$6*12,0,IF(AND(ISNUMBER(C64),C64&gt;=0,C64&lt;=1),0,1))</f>
        <v>0</v>
      </c>
    </row>
    <row r="65" spans="1:32" ht="21" customHeight="1">
      <c r="A65" s="68">
        <f>60</f>
        <v>60</v>
      </c>
      <c r="B65" s="69">
        <f>EDATE(入力設定!$B$7,A65-1)</f>
        <v>48122</v>
      </c>
      <c r="C65" s="80">
        <f>INDEX(入力設定!$C$15:$C$24,INT((A65-1)/60)+1)</f>
        <v>1.11E-2</v>
      </c>
      <c r="D65" s="70">
        <f t="shared" ca="1" si="17"/>
        <v>30864557.669154227</v>
      </c>
      <c r="E65" s="70">
        <f t="shared" ca="1" si="18"/>
        <v>361</v>
      </c>
      <c r="F65" s="70">
        <f ca="1">IF(D65+Z65&lt;0.000001,0,IF(D65&lt;0.000001,F64,IF(OR(AE65=1,AND(K64&gt;0,入力設定!$B$8="返済額軽減型",入力設定!$B$11="翌月")),IF(C65=0,D65/MAX(1,E65),D65*(C65/12)/(1-(1+C65/12)^(-MAX(1,E65)))),F64)))</f>
        <v>100604.4016546396</v>
      </c>
      <c r="G65" s="70">
        <f t="shared" ca="1" si="0"/>
        <v>100604.4016546396</v>
      </c>
      <c r="H65" s="70">
        <f t="shared" ca="1" si="1"/>
        <v>28549.71584396766</v>
      </c>
      <c r="I65" s="70">
        <f t="shared" ca="1" si="2"/>
        <v>72054.685810671945</v>
      </c>
      <c r="J65" s="70">
        <f>SUMIFS(入力設定!$G$5:$G$24,入力設定!$F$5:$F$24,A65)</f>
        <v>3000000</v>
      </c>
      <c r="K65" s="70">
        <f t="shared" ca="1" si="3"/>
        <v>3000000</v>
      </c>
      <c r="L65" s="70">
        <f ca="1">IF(K65&gt;0,入力設定!$B$9,0)</f>
        <v>0</v>
      </c>
      <c r="M65" s="70">
        <f t="shared" ca="1" si="4"/>
        <v>27792502.983343557</v>
      </c>
      <c r="N65" s="70">
        <f ca="1">IF(M65+AA65&lt;0.000001,0,IF(AND(K65&gt;0,入力設定!$B$8="期間短縮型",AA65&lt;0.000001,F65&gt;M65*C65/12),MAX(1,MIN(E65-1,IF(C65=0,ROUNDUP(M65/F65,0),ROUNDUP(-LN(1-M65*(C65/12)/F65)/LN(1+C65/12),0)))),MAX(1,E65-1)))</f>
        <v>320</v>
      </c>
      <c r="O65" s="70">
        <f t="shared" ca="1" si="5"/>
        <v>3100604.4016546397</v>
      </c>
      <c r="P65" s="70">
        <f t="shared" ca="1" si="19"/>
        <v>30864557.669154227</v>
      </c>
      <c r="Q65" s="70">
        <f ca="1">IF(OR(A65&gt;入力設定!$B$6*12,P65+AC65&lt;0.000001),0,IF(P65&lt;0.000001,Q64,IF(AE65=1,IF(C65=0,P65/MAX(1,入力設定!$B$6*12-A65+1),P65*(C65/12)/(1-(1+C65/12)^(-MAX(1,入力設定!$B$6*12-A65+1)))),Q64)))</f>
        <v>100604.4016546396</v>
      </c>
      <c r="R65" s="70">
        <f ca="1">IF(P65+AC65&lt;0.000001,0,IF(A65=入力設定!$B$6*12,P65+AB65+AC65,MIN(Q65,P65+AB65+AC65)))</f>
        <v>100604.4016546396</v>
      </c>
      <c r="S65" s="70">
        <f t="shared" ca="1" si="6"/>
        <v>28549.71584396766</v>
      </c>
      <c r="T65" s="70">
        <f t="shared" ca="1" si="7"/>
        <v>72054.685810671945</v>
      </c>
      <c r="U65" s="70">
        <f t="shared" ca="1" si="8"/>
        <v>30792502.983343557</v>
      </c>
      <c r="V65" s="70">
        <f t="shared" ca="1" si="9"/>
        <v>0</v>
      </c>
      <c r="W65" s="70">
        <f t="shared" ca="1" si="10"/>
        <v>0</v>
      </c>
      <c r="X65" s="70">
        <f t="shared" ca="1" si="11"/>
        <v>0</v>
      </c>
      <c r="Y65" s="71">
        <f t="shared" ca="1" si="12"/>
        <v>28549.71584396766</v>
      </c>
      <c r="Z65" s="71">
        <f t="shared" ca="1" si="20"/>
        <v>0</v>
      </c>
      <c r="AA65" s="71">
        <f t="shared" ca="1" si="13"/>
        <v>0</v>
      </c>
      <c r="AB65" s="71">
        <f t="shared" ca="1" si="14"/>
        <v>28549.71584396766</v>
      </c>
      <c r="AC65" s="71">
        <f t="shared" ca="1" si="21"/>
        <v>0</v>
      </c>
      <c r="AD65" s="71">
        <f t="shared" ca="1" si="15"/>
        <v>0</v>
      </c>
      <c r="AE65" s="72">
        <f t="shared" si="16"/>
        <v>0</v>
      </c>
      <c r="AF65" s="73">
        <f>IF(A65&gt;入力設定!$B$6*12,0,IF(AND(ISNUMBER(C65),C65&gt;=0,C65&lt;=1),0,1))</f>
        <v>0</v>
      </c>
    </row>
    <row r="66" spans="1:32" ht="21" customHeight="1">
      <c r="A66" s="68">
        <f>61</f>
        <v>61</v>
      </c>
      <c r="B66" s="69">
        <f>EDATE(入力設定!$B$7,A66-1)</f>
        <v>48153</v>
      </c>
      <c r="C66" s="80">
        <f>INDEX(入力設定!$C$15:$C$24,INT((A66-1)/60)+1)</f>
        <v>2.5000000000000001E-2</v>
      </c>
      <c r="D66" s="70">
        <f t="shared" ca="1" si="17"/>
        <v>27792502.983343557</v>
      </c>
      <c r="E66" s="70">
        <f t="shared" ca="1" si="18"/>
        <v>320</v>
      </c>
      <c r="F66" s="70">
        <f ca="1">IF(D66+Z66&lt;0.000001,0,IF(D66&lt;0.000001,F65,IF(OR(AE66=1,AND(K65&gt;0,入力設定!$B$8="返済額軽減型",入力設定!$B$11="翌月")),IF(C66=0,D66/MAX(1,E66),D66*(C66/12)/(1-(1+C66/12)^(-MAX(1,E66)))),F65)))</f>
        <v>119082.40831799689</v>
      </c>
      <c r="G66" s="70">
        <f t="shared" ca="1" si="0"/>
        <v>119082.40831799689</v>
      </c>
      <c r="H66" s="70">
        <f t="shared" ca="1" si="1"/>
        <v>57901.047881965751</v>
      </c>
      <c r="I66" s="70">
        <f t="shared" ca="1" si="2"/>
        <v>61181.360436031136</v>
      </c>
      <c r="J66" s="70">
        <f>SUMIFS(入力設定!$G$5:$G$24,入力設定!$F$5:$F$24,A66)</f>
        <v>0</v>
      </c>
      <c r="K66" s="70">
        <f t="shared" ca="1" si="3"/>
        <v>0</v>
      </c>
      <c r="L66" s="70">
        <f ca="1">IF(K66&gt;0,入力設定!$B$9,0)</f>
        <v>0</v>
      </c>
      <c r="M66" s="70">
        <f t="shared" ca="1" si="4"/>
        <v>27731321.622907527</v>
      </c>
      <c r="N66" s="70">
        <f ca="1">IF(M66+AA66&lt;0.000001,0,IF(AND(K66&gt;0,入力設定!$B$8="期間短縮型",AA66&lt;0.000001,F66&gt;M66*C66/12),MAX(1,MIN(E66-1,IF(C66=0,ROUNDUP(M66/F66,0),ROUNDUP(-LN(1-M66*(C66/12)/F66)/LN(1+C66/12),0)))),MAX(1,E66-1)))</f>
        <v>319</v>
      </c>
      <c r="O66" s="70">
        <f t="shared" ca="1" si="5"/>
        <v>119082.40831799689</v>
      </c>
      <c r="P66" s="70">
        <f t="shared" ca="1" si="19"/>
        <v>30792502.983343557</v>
      </c>
      <c r="Q66" s="70">
        <f ca="1">IF(OR(A66&gt;入力設定!$B$6*12,P66+AC66&lt;0.000001),0,IF(P66&lt;0.000001,Q65,IF(AE66=1,IF(C66=0,P66/MAX(1,入力設定!$B$6*12-A66+1),P66*(C66/12)/(1-(1+C66/12)^(-MAX(1,入力設定!$B$6*12-A66+1)))),Q65)))</f>
        <v>121667.61455625904</v>
      </c>
      <c r="R66" s="70">
        <f ca="1">IF(P66+AC66&lt;0.000001,0,IF(A66=入力設定!$B$6*12,P66+AB66+AC66,MIN(Q66,P66+AB66+AC66)))</f>
        <v>121667.61455625904</v>
      </c>
      <c r="S66" s="70">
        <f t="shared" ca="1" si="6"/>
        <v>64151.047881965751</v>
      </c>
      <c r="T66" s="70">
        <f t="shared" ca="1" si="7"/>
        <v>57516.566674293288</v>
      </c>
      <c r="U66" s="70">
        <f t="shared" ca="1" si="8"/>
        <v>30734986.416669264</v>
      </c>
      <c r="V66" s="70">
        <f t="shared" ca="1" si="9"/>
        <v>0</v>
      </c>
      <c r="W66" s="70">
        <f t="shared" ca="1" si="10"/>
        <v>0</v>
      </c>
      <c r="X66" s="70">
        <f t="shared" ca="1" si="11"/>
        <v>0</v>
      </c>
      <c r="Y66" s="71">
        <f t="shared" ca="1" si="12"/>
        <v>57901.047881965751</v>
      </c>
      <c r="Z66" s="71">
        <f t="shared" ca="1" si="20"/>
        <v>0</v>
      </c>
      <c r="AA66" s="71">
        <f t="shared" ca="1" si="13"/>
        <v>0</v>
      </c>
      <c r="AB66" s="71">
        <f t="shared" ca="1" si="14"/>
        <v>64151.047881965751</v>
      </c>
      <c r="AC66" s="71">
        <f t="shared" ca="1" si="21"/>
        <v>0</v>
      </c>
      <c r="AD66" s="71">
        <f t="shared" ca="1" si="15"/>
        <v>0</v>
      </c>
      <c r="AE66" s="72">
        <f t="shared" si="16"/>
        <v>1</v>
      </c>
      <c r="AF66" s="73">
        <f>IF(A66&gt;入力設定!$B$6*12,0,IF(AND(ISNUMBER(C66),C66&gt;=0,C66&lt;=1),0,1))</f>
        <v>0</v>
      </c>
    </row>
    <row r="67" spans="1:32" ht="21" customHeight="1">
      <c r="A67" s="68">
        <f>62</f>
        <v>62</v>
      </c>
      <c r="B67" s="69">
        <f>EDATE(入力設定!$B$7,A67-1)</f>
        <v>48183</v>
      </c>
      <c r="C67" s="80">
        <f>INDEX(入力設定!$C$15:$C$24,INT((A67-1)/60)+1)</f>
        <v>2.5000000000000001E-2</v>
      </c>
      <c r="D67" s="70">
        <f t="shared" ca="1" si="17"/>
        <v>27731321.622907527</v>
      </c>
      <c r="E67" s="70">
        <f t="shared" ca="1" si="18"/>
        <v>319</v>
      </c>
      <c r="F67" s="70">
        <f ca="1">IF(D67+Z67&lt;0.000001,0,IF(D67&lt;0.000001,F66,IF(OR(AE67=1,AND(K66&gt;0,入力設定!$B$8="返済額軽減型",入力設定!$B$11="翌月")),IF(C67=0,D67/MAX(1,E67),D67*(C67/12)/(1-(1+C67/12)^(-MAX(1,E67)))),F66)))</f>
        <v>119082.40831799689</v>
      </c>
      <c r="G67" s="70">
        <f t="shared" ca="1" si="0"/>
        <v>119082.40831799689</v>
      </c>
      <c r="H67" s="70">
        <f t="shared" ca="1" si="1"/>
        <v>57773.586714390687</v>
      </c>
      <c r="I67" s="70">
        <f t="shared" ca="1" si="2"/>
        <v>61308.8216036062</v>
      </c>
      <c r="J67" s="70">
        <f>SUMIFS(入力設定!$G$5:$G$24,入力設定!$F$5:$F$24,A67)</f>
        <v>0</v>
      </c>
      <c r="K67" s="70">
        <f t="shared" ca="1" si="3"/>
        <v>0</v>
      </c>
      <c r="L67" s="70">
        <f ca="1">IF(K67&gt;0,入力設定!$B$9,0)</f>
        <v>0</v>
      </c>
      <c r="M67" s="70">
        <f t="shared" ca="1" si="4"/>
        <v>27670012.801303919</v>
      </c>
      <c r="N67" s="70">
        <f ca="1">IF(M67+AA67&lt;0.000001,0,IF(AND(K67&gt;0,入力設定!$B$8="期間短縮型",AA67&lt;0.000001,F67&gt;M67*C67/12),MAX(1,MIN(E67-1,IF(C67=0,ROUNDUP(M67/F67,0),ROUNDUP(-LN(1-M67*(C67/12)/F67)/LN(1+C67/12),0)))),MAX(1,E67-1)))</f>
        <v>318</v>
      </c>
      <c r="O67" s="70">
        <f t="shared" ca="1" si="5"/>
        <v>119082.40831799689</v>
      </c>
      <c r="P67" s="70">
        <f t="shared" ca="1" si="19"/>
        <v>30734986.416669264</v>
      </c>
      <c r="Q67" s="70">
        <f ca="1">IF(OR(A67&gt;入力設定!$B$6*12,P67+AC67&lt;0.000001),0,IF(P67&lt;0.000001,Q66,IF(AE67=1,IF(C67=0,P67/MAX(1,入力設定!$B$6*12-A67+1),P67*(C67/12)/(1-(1+C67/12)^(-MAX(1,入力設定!$B$6*12-A67+1)))),Q66)))</f>
        <v>121667.61455625904</v>
      </c>
      <c r="R67" s="70">
        <f ca="1">IF(P67+AC67&lt;0.000001,0,IF(A67=入力設定!$B$6*12,P67+AB67+AC67,MIN(Q67,P67+AB67+AC67)))</f>
        <v>121667.61455625904</v>
      </c>
      <c r="S67" s="70">
        <f t="shared" ca="1" si="6"/>
        <v>64031.221701394301</v>
      </c>
      <c r="T67" s="70">
        <f t="shared" ca="1" si="7"/>
        <v>57636.392854864738</v>
      </c>
      <c r="U67" s="70">
        <f t="shared" ca="1" si="8"/>
        <v>30677350.023814399</v>
      </c>
      <c r="V67" s="70">
        <f t="shared" ca="1" si="9"/>
        <v>0</v>
      </c>
      <c r="W67" s="70">
        <f t="shared" ca="1" si="10"/>
        <v>0</v>
      </c>
      <c r="X67" s="70">
        <f t="shared" ca="1" si="11"/>
        <v>0</v>
      </c>
      <c r="Y67" s="71">
        <f t="shared" ca="1" si="12"/>
        <v>57773.586714390687</v>
      </c>
      <c r="Z67" s="71">
        <f t="shared" ca="1" si="20"/>
        <v>0</v>
      </c>
      <c r="AA67" s="71">
        <f t="shared" ca="1" si="13"/>
        <v>0</v>
      </c>
      <c r="AB67" s="71">
        <f t="shared" ca="1" si="14"/>
        <v>64031.221701394301</v>
      </c>
      <c r="AC67" s="71">
        <f t="shared" ca="1" si="21"/>
        <v>0</v>
      </c>
      <c r="AD67" s="71">
        <f t="shared" ca="1" si="15"/>
        <v>0</v>
      </c>
      <c r="AE67" s="72">
        <f t="shared" si="16"/>
        <v>0</v>
      </c>
      <c r="AF67" s="73">
        <f>IF(A67&gt;入力設定!$B$6*12,0,IF(AND(ISNUMBER(C67),C67&gt;=0,C67&lt;=1),0,1))</f>
        <v>0</v>
      </c>
    </row>
    <row r="68" spans="1:32" ht="21" customHeight="1">
      <c r="A68" s="68">
        <f>63</f>
        <v>63</v>
      </c>
      <c r="B68" s="69">
        <f>EDATE(入力設定!$B$7,A68-1)</f>
        <v>48214</v>
      </c>
      <c r="C68" s="80">
        <f>INDEX(入力設定!$C$15:$C$24,INT((A68-1)/60)+1)</f>
        <v>2.5000000000000001E-2</v>
      </c>
      <c r="D68" s="70">
        <f t="shared" ca="1" si="17"/>
        <v>27670012.801303919</v>
      </c>
      <c r="E68" s="70">
        <f t="shared" ca="1" si="18"/>
        <v>318</v>
      </c>
      <c r="F68" s="70">
        <f ca="1">IF(D68+Z68&lt;0.000001,0,IF(D68&lt;0.000001,F67,IF(OR(AE68=1,AND(K67&gt;0,入力設定!$B$8="返済額軽減型",入力設定!$B$11="翌月")),IF(C68=0,D68/MAX(1,E68),D68*(C68/12)/(1-(1+C68/12)^(-MAX(1,E68)))),F67)))</f>
        <v>119082.40831799689</v>
      </c>
      <c r="G68" s="70">
        <f t="shared" ca="1" si="0"/>
        <v>119082.40831799689</v>
      </c>
      <c r="H68" s="70">
        <f t="shared" ca="1" si="1"/>
        <v>57645.860002716501</v>
      </c>
      <c r="I68" s="70">
        <f t="shared" ca="1" si="2"/>
        <v>61436.548315280386</v>
      </c>
      <c r="J68" s="70">
        <f>SUMIFS(入力設定!$G$5:$G$24,入力設定!$F$5:$F$24,A68)</f>
        <v>0</v>
      </c>
      <c r="K68" s="70">
        <f t="shared" ca="1" si="3"/>
        <v>0</v>
      </c>
      <c r="L68" s="70">
        <f ca="1">IF(K68&gt;0,入力設定!$B$9,0)</f>
        <v>0</v>
      </c>
      <c r="M68" s="70">
        <f t="shared" ca="1" si="4"/>
        <v>27608576.25298864</v>
      </c>
      <c r="N68" s="70">
        <f ca="1">IF(M68+AA68&lt;0.000001,0,IF(AND(K68&gt;0,入力設定!$B$8="期間短縮型",AA68&lt;0.000001,F68&gt;M68*C68/12),MAX(1,MIN(E68-1,IF(C68=0,ROUNDUP(M68/F68,0),ROUNDUP(-LN(1-M68*(C68/12)/F68)/LN(1+C68/12),0)))),MAX(1,E68-1)))</f>
        <v>317</v>
      </c>
      <c r="O68" s="70">
        <f t="shared" ca="1" si="5"/>
        <v>119082.40831799689</v>
      </c>
      <c r="P68" s="70">
        <f t="shared" ca="1" si="19"/>
        <v>30677350.023814399</v>
      </c>
      <c r="Q68" s="70">
        <f ca="1">IF(OR(A68&gt;入力設定!$B$6*12,P68+AC68&lt;0.000001),0,IF(P68&lt;0.000001,Q67,IF(AE68=1,IF(C68=0,P68/MAX(1,入力設定!$B$6*12-A68+1),P68*(C68/12)/(1-(1+C68/12)^(-MAX(1,入力設定!$B$6*12-A68+1)))),Q67)))</f>
        <v>121667.61455625904</v>
      </c>
      <c r="R68" s="70">
        <f ca="1">IF(P68+AC68&lt;0.000001,0,IF(A68=入力設定!$B$6*12,P68+AB68+AC68,MIN(Q68,P68+AB68+AC68)))</f>
        <v>121667.61455625904</v>
      </c>
      <c r="S68" s="70">
        <f t="shared" ca="1" si="6"/>
        <v>63911.145882946672</v>
      </c>
      <c r="T68" s="70">
        <f t="shared" ca="1" si="7"/>
        <v>57756.468673312367</v>
      </c>
      <c r="U68" s="70">
        <f t="shared" ca="1" si="8"/>
        <v>30619593.555141088</v>
      </c>
      <c r="V68" s="70">
        <f t="shared" ca="1" si="9"/>
        <v>0</v>
      </c>
      <c r="W68" s="70">
        <f t="shared" ca="1" si="10"/>
        <v>0</v>
      </c>
      <c r="X68" s="70">
        <f t="shared" ca="1" si="11"/>
        <v>0</v>
      </c>
      <c r="Y68" s="71">
        <f t="shared" ca="1" si="12"/>
        <v>57645.860002716501</v>
      </c>
      <c r="Z68" s="71">
        <f t="shared" ca="1" si="20"/>
        <v>0</v>
      </c>
      <c r="AA68" s="71">
        <f t="shared" ca="1" si="13"/>
        <v>0</v>
      </c>
      <c r="AB68" s="71">
        <f t="shared" ca="1" si="14"/>
        <v>63911.145882946672</v>
      </c>
      <c r="AC68" s="71">
        <f t="shared" ca="1" si="21"/>
        <v>0</v>
      </c>
      <c r="AD68" s="71">
        <f t="shared" ca="1" si="15"/>
        <v>0</v>
      </c>
      <c r="AE68" s="72">
        <f t="shared" si="16"/>
        <v>0</v>
      </c>
      <c r="AF68" s="73">
        <f>IF(A68&gt;入力設定!$B$6*12,0,IF(AND(ISNUMBER(C68),C68&gt;=0,C68&lt;=1),0,1))</f>
        <v>0</v>
      </c>
    </row>
    <row r="69" spans="1:32" ht="21" customHeight="1">
      <c r="A69" s="68">
        <f>64</f>
        <v>64</v>
      </c>
      <c r="B69" s="69">
        <f>EDATE(入力設定!$B$7,A69-1)</f>
        <v>48245</v>
      </c>
      <c r="C69" s="80">
        <f>INDEX(入力設定!$C$15:$C$24,INT((A69-1)/60)+1)</f>
        <v>2.5000000000000001E-2</v>
      </c>
      <c r="D69" s="70">
        <f t="shared" ca="1" si="17"/>
        <v>27608576.25298864</v>
      </c>
      <c r="E69" s="70">
        <f t="shared" ca="1" si="18"/>
        <v>317</v>
      </c>
      <c r="F69" s="70">
        <f ca="1">IF(D69+Z69&lt;0.000001,0,IF(D69&lt;0.000001,F68,IF(OR(AE69=1,AND(K68&gt;0,入力設定!$B$8="返済額軽減型",入力設定!$B$11="翌月")),IF(C69=0,D69/MAX(1,E69),D69*(C69/12)/(1-(1+C69/12)^(-MAX(1,E69)))),F68)))</f>
        <v>119082.40831799689</v>
      </c>
      <c r="G69" s="70">
        <f t="shared" ca="1" si="0"/>
        <v>119082.40831799689</v>
      </c>
      <c r="H69" s="70">
        <f t="shared" ca="1" si="1"/>
        <v>57517.867193726335</v>
      </c>
      <c r="I69" s="70">
        <f t="shared" ca="1" si="2"/>
        <v>61564.541124270552</v>
      </c>
      <c r="J69" s="70">
        <f>SUMIFS(入力設定!$G$5:$G$24,入力設定!$F$5:$F$24,A69)</f>
        <v>0</v>
      </c>
      <c r="K69" s="70">
        <f t="shared" ca="1" si="3"/>
        <v>0</v>
      </c>
      <c r="L69" s="70">
        <f ca="1">IF(K69&gt;0,入力設定!$B$9,0)</f>
        <v>0</v>
      </c>
      <c r="M69" s="70">
        <f t="shared" ca="1" si="4"/>
        <v>27547011.711864371</v>
      </c>
      <c r="N69" s="70">
        <f ca="1">IF(M69+AA69&lt;0.000001,0,IF(AND(K69&gt;0,入力設定!$B$8="期間短縮型",AA69&lt;0.000001,F69&gt;M69*C69/12),MAX(1,MIN(E69-1,IF(C69=0,ROUNDUP(M69/F69,0),ROUNDUP(-LN(1-M69*(C69/12)/F69)/LN(1+C69/12),0)))),MAX(1,E69-1)))</f>
        <v>316</v>
      </c>
      <c r="O69" s="70">
        <f t="shared" ca="1" si="5"/>
        <v>119082.40831799689</v>
      </c>
      <c r="P69" s="70">
        <f t="shared" ca="1" si="19"/>
        <v>30619593.555141088</v>
      </c>
      <c r="Q69" s="70">
        <f ca="1">IF(OR(A69&gt;入力設定!$B$6*12,P69+AC69&lt;0.000001),0,IF(P69&lt;0.000001,Q68,IF(AE69=1,IF(C69=0,P69/MAX(1,入力設定!$B$6*12-A69+1),P69*(C69/12)/(1-(1+C69/12)^(-MAX(1,入力設定!$B$6*12-A69+1)))),Q68)))</f>
        <v>121667.61455625904</v>
      </c>
      <c r="R69" s="70">
        <f ca="1">IF(P69+AC69&lt;0.000001,0,IF(A69=入力設定!$B$6*12,P69+AB69+AC69,MIN(Q69,P69+AB69+AC69)))</f>
        <v>121667.61455625904</v>
      </c>
      <c r="S69" s="70">
        <f t="shared" ca="1" si="6"/>
        <v>63790.81990654394</v>
      </c>
      <c r="T69" s="70">
        <f t="shared" ca="1" si="7"/>
        <v>57876.794649715099</v>
      </c>
      <c r="U69" s="70">
        <f t="shared" ca="1" si="8"/>
        <v>30561716.760491371</v>
      </c>
      <c r="V69" s="70">
        <f t="shared" ca="1" si="9"/>
        <v>0</v>
      </c>
      <c r="W69" s="70">
        <f t="shared" ca="1" si="10"/>
        <v>0</v>
      </c>
      <c r="X69" s="70">
        <f t="shared" ca="1" si="11"/>
        <v>0</v>
      </c>
      <c r="Y69" s="71">
        <f t="shared" ca="1" si="12"/>
        <v>57517.867193726335</v>
      </c>
      <c r="Z69" s="71">
        <f t="shared" ca="1" si="20"/>
        <v>0</v>
      </c>
      <c r="AA69" s="71">
        <f t="shared" ca="1" si="13"/>
        <v>0</v>
      </c>
      <c r="AB69" s="71">
        <f t="shared" ca="1" si="14"/>
        <v>63790.81990654394</v>
      </c>
      <c r="AC69" s="71">
        <f t="shared" ca="1" si="21"/>
        <v>0</v>
      </c>
      <c r="AD69" s="71">
        <f t="shared" ca="1" si="15"/>
        <v>0</v>
      </c>
      <c r="AE69" s="72">
        <f t="shared" si="16"/>
        <v>0</v>
      </c>
      <c r="AF69" s="73">
        <f>IF(A69&gt;入力設定!$B$6*12,0,IF(AND(ISNUMBER(C69),C69&gt;=0,C69&lt;=1),0,1))</f>
        <v>0</v>
      </c>
    </row>
    <row r="70" spans="1:32" ht="21" customHeight="1">
      <c r="A70" s="68">
        <f>65</f>
        <v>65</v>
      </c>
      <c r="B70" s="69">
        <f>EDATE(入力設定!$B$7,A70-1)</f>
        <v>48274</v>
      </c>
      <c r="C70" s="80">
        <f>INDEX(入力設定!$C$15:$C$24,INT((A70-1)/60)+1)</f>
        <v>2.5000000000000001E-2</v>
      </c>
      <c r="D70" s="70">
        <f t="shared" ca="1" si="17"/>
        <v>27547011.711864371</v>
      </c>
      <c r="E70" s="70">
        <f t="shared" ca="1" si="18"/>
        <v>316</v>
      </c>
      <c r="F70" s="70">
        <f ca="1">IF(D70+Z70&lt;0.000001,0,IF(D70&lt;0.000001,F69,IF(OR(AE70=1,AND(K69&gt;0,入力設定!$B$8="返済額軽減型",入力設定!$B$11="翌月")),IF(C70=0,D70/MAX(1,E70),D70*(C70/12)/(1-(1+C70/12)^(-MAX(1,E70)))),F69)))</f>
        <v>119082.40831799689</v>
      </c>
      <c r="G70" s="70">
        <f t="shared" ref="G70:G133" ca="1" si="22">IF(D70+Z70&lt;0.000001,0,IF(E70&lt;=1,D70+Y70+Z70,MIN(D70+Y70+Z70,F70)))</f>
        <v>119082.40831799689</v>
      </c>
      <c r="H70" s="70">
        <f t="shared" ref="H70:H133" ca="1" si="23">MIN(G70,Y70+Z70)</f>
        <v>57389.607733050776</v>
      </c>
      <c r="I70" s="70">
        <f t="shared" ref="I70:I133" ca="1" si="24">G70-H70</f>
        <v>61692.800584946111</v>
      </c>
      <c r="J70" s="70">
        <f>SUMIFS(入力設定!$G$5:$G$24,入力設定!$F$5:$F$24,A70)</f>
        <v>0</v>
      </c>
      <c r="K70" s="70">
        <f t="shared" ref="K70:K133" ca="1" si="25">MIN(MAX(0,D70-I70),J70)</f>
        <v>0</v>
      </c>
      <c r="L70" s="70">
        <f ca="1">IF(K70&gt;0,入力設定!$B$9,0)</f>
        <v>0</v>
      </c>
      <c r="M70" s="70">
        <f t="shared" ref="M70:M133" ca="1" si="26">MAX(0,D70-I70-K70)</f>
        <v>27485318.911279425</v>
      </c>
      <c r="N70" s="70">
        <f ca="1">IF(M70+AA70&lt;0.000001,0,IF(AND(K70&gt;0,入力設定!$B$8="期間短縮型",AA70&lt;0.000001,F70&gt;M70*C70/12),MAX(1,MIN(E70-1,IF(C70=0,ROUNDUP(M70/F70,0),ROUNDUP(-LN(1-M70*(C70/12)/F70)/LN(1+C70/12),0)))),MAX(1,E70-1)))</f>
        <v>315</v>
      </c>
      <c r="O70" s="70">
        <f t="shared" ref="O70:O133" ca="1" si="27">SUM(G70,K70,L70)</f>
        <v>119082.40831799689</v>
      </c>
      <c r="P70" s="70">
        <f t="shared" ca="1" si="19"/>
        <v>30561716.760491371</v>
      </c>
      <c r="Q70" s="70">
        <f ca="1">IF(OR(A70&gt;入力設定!$B$6*12,P70+AC70&lt;0.000001),0,IF(P70&lt;0.000001,Q69,IF(AE70=1,IF(C70=0,P70/MAX(1,入力設定!$B$6*12-A70+1),P70*(C70/12)/(1-(1+C70/12)^(-MAX(1,入力設定!$B$6*12-A70+1)))),Q69)))</f>
        <v>121667.61455625904</v>
      </c>
      <c r="R70" s="70">
        <f ca="1">IF(P70+AC70&lt;0.000001,0,IF(A70=入力設定!$B$6*12,P70+AB70+AC70,MIN(Q70,P70+AB70+AC70)))</f>
        <v>121667.61455625904</v>
      </c>
      <c r="S70" s="70">
        <f t="shared" ref="S70:S133" ca="1" si="28">MIN(R70,AB70+AC70)</f>
        <v>63670.243251023698</v>
      </c>
      <c r="T70" s="70">
        <f t="shared" ref="T70:T133" ca="1" si="29">R70-S70</f>
        <v>57997.371305235341</v>
      </c>
      <c r="U70" s="70">
        <f t="shared" ref="U70:U133" ca="1" si="30">MAX(0,P70-T70)</f>
        <v>30503719.389186136</v>
      </c>
      <c r="V70" s="70">
        <f t="shared" ref="V70:V133" ca="1" si="31">D70-I70-K70-M70</f>
        <v>0</v>
      </c>
      <c r="W70" s="70">
        <f t="shared" ref="W70:W133" ca="1" si="32">P70-T70-U70</f>
        <v>0</v>
      </c>
      <c r="X70" s="70">
        <f t="shared" ref="X70:X133" ca="1" si="33">O70-G70-K70-L70</f>
        <v>0</v>
      </c>
      <c r="Y70" s="71">
        <f t="shared" ref="Y70:Y133" ca="1" si="34">D70*C70/12</f>
        <v>57389.607733050776</v>
      </c>
      <c r="Z70" s="71">
        <f t="shared" ca="1" si="20"/>
        <v>0</v>
      </c>
      <c r="AA70" s="71">
        <f t="shared" ref="AA70:AA133" ca="1" si="35">MAX(0,Z70+Y70-H70)</f>
        <v>0</v>
      </c>
      <c r="AB70" s="71">
        <f t="shared" ref="AB70:AB133" ca="1" si="36">P70*C70/12</f>
        <v>63670.243251023698</v>
      </c>
      <c r="AC70" s="71">
        <f t="shared" ca="1" si="21"/>
        <v>0</v>
      </c>
      <c r="AD70" s="71">
        <f t="shared" ref="AD70:AD133" ca="1" si="37">MAX(0,AC70+AB70-S70)</f>
        <v>0</v>
      </c>
      <c r="AE70" s="72">
        <f t="shared" ref="AE70:AE133" si="38">IF(MOD(A70-1,60)=0,1,0)</f>
        <v>0</v>
      </c>
      <c r="AF70" s="73">
        <f>IF(A70&gt;入力設定!$B$6*12,0,IF(AND(ISNUMBER(C70),C70&gt;=0,C70&lt;=1),0,1))</f>
        <v>0</v>
      </c>
    </row>
    <row r="71" spans="1:32" ht="21" customHeight="1">
      <c r="A71" s="68">
        <f>66</f>
        <v>66</v>
      </c>
      <c r="B71" s="69">
        <f>EDATE(入力設定!$B$7,A71-1)</f>
        <v>48305</v>
      </c>
      <c r="C71" s="80">
        <f>INDEX(入力設定!$C$15:$C$24,INT((A71-1)/60)+1)</f>
        <v>2.5000000000000001E-2</v>
      </c>
      <c r="D71" s="70">
        <f t="shared" ref="D71:D134" ca="1" si="39">M70</f>
        <v>27485318.911279425</v>
      </c>
      <c r="E71" s="70">
        <f t="shared" ref="E71:E134" ca="1" si="40">N70</f>
        <v>315</v>
      </c>
      <c r="F71" s="70">
        <f ca="1">IF(D71+Z71&lt;0.000001,0,IF(D71&lt;0.000001,F70,IF(OR(AE71=1,AND(K70&gt;0,入力設定!$B$8="返済額軽減型",入力設定!$B$11="翌月")),IF(C71=0,D71/MAX(1,E71),D71*(C71/12)/(1-(1+C71/12)^(-MAX(1,E71)))),F70)))</f>
        <v>119082.40831799689</v>
      </c>
      <c r="G71" s="70">
        <f t="shared" ca="1" si="22"/>
        <v>119082.40831799689</v>
      </c>
      <c r="H71" s="70">
        <f t="shared" ca="1" si="23"/>
        <v>57261.081065165468</v>
      </c>
      <c r="I71" s="70">
        <f t="shared" ca="1" si="24"/>
        <v>61821.327252831419</v>
      </c>
      <c r="J71" s="70">
        <f>SUMIFS(入力設定!$G$5:$G$24,入力設定!$F$5:$F$24,A71)</f>
        <v>0</v>
      </c>
      <c r="K71" s="70">
        <f t="shared" ca="1" si="25"/>
        <v>0</v>
      </c>
      <c r="L71" s="70">
        <f ca="1">IF(K71&gt;0,入力設定!$B$9,0)</f>
        <v>0</v>
      </c>
      <c r="M71" s="70">
        <f t="shared" ca="1" si="26"/>
        <v>27423497.584026594</v>
      </c>
      <c r="N71" s="70">
        <f ca="1">IF(M71+AA71&lt;0.000001,0,IF(AND(K71&gt;0,入力設定!$B$8="期間短縮型",AA71&lt;0.000001,F71&gt;M71*C71/12),MAX(1,MIN(E71-1,IF(C71=0,ROUNDUP(M71/F71,0),ROUNDUP(-LN(1-M71*(C71/12)/F71)/LN(1+C71/12),0)))),MAX(1,E71-1)))</f>
        <v>314</v>
      </c>
      <c r="O71" s="70">
        <f t="shared" ca="1" si="27"/>
        <v>119082.40831799689</v>
      </c>
      <c r="P71" s="70">
        <f t="shared" ref="P71:P134" ca="1" si="41">U70</f>
        <v>30503719.389186136</v>
      </c>
      <c r="Q71" s="70">
        <f ca="1">IF(OR(A71&gt;入力設定!$B$6*12,P71+AC71&lt;0.000001),0,IF(P71&lt;0.000001,Q70,IF(AE71=1,IF(C71=0,P71/MAX(1,入力設定!$B$6*12-A71+1),P71*(C71/12)/(1-(1+C71/12)^(-MAX(1,入力設定!$B$6*12-A71+1)))),Q70)))</f>
        <v>121667.61455625904</v>
      </c>
      <c r="R71" s="70">
        <f ca="1">IF(P71+AC71&lt;0.000001,0,IF(A71=入力設定!$B$6*12,P71+AB71+AC71,MIN(Q71,P71+AB71+AC71)))</f>
        <v>121667.61455625904</v>
      </c>
      <c r="S71" s="70">
        <f t="shared" ca="1" si="28"/>
        <v>63549.415394137788</v>
      </c>
      <c r="T71" s="70">
        <f t="shared" ca="1" si="29"/>
        <v>58118.199162121251</v>
      </c>
      <c r="U71" s="70">
        <f t="shared" ca="1" si="30"/>
        <v>30445601.190024015</v>
      </c>
      <c r="V71" s="70">
        <f t="shared" ca="1" si="31"/>
        <v>0</v>
      </c>
      <c r="W71" s="70">
        <f t="shared" ca="1" si="32"/>
        <v>0</v>
      </c>
      <c r="X71" s="70">
        <f t="shared" ca="1" si="33"/>
        <v>0</v>
      </c>
      <c r="Y71" s="71">
        <f t="shared" ca="1" si="34"/>
        <v>57261.081065165468</v>
      </c>
      <c r="Z71" s="71">
        <f t="shared" ref="Z71:Z134" ca="1" si="42">AA70</f>
        <v>0</v>
      </c>
      <c r="AA71" s="71">
        <f t="shared" ca="1" si="35"/>
        <v>0</v>
      </c>
      <c r="AB71" s="71">
        <f t="shared" ca="1" si="36"/>
        <v>63549.415394137788</v>
      </c>
      <c r="AC71" s="71">
        <f t="shared" ref="AC71:AC134" ca="1" si="43">AD70</f>
        <v>0</v>
      </c>
      <c r="AD71" s="71">
        <f t="shared" ca="1" si="37"/>
        <v>0</v>
      </c>
      <c r="AE71" s="72">
        <f t="shared" si="38"/>
        <v>0</v>
      </c>
      <c r="AF71" s="73">
        <f>IF(A71&gt;入力設定!$B$6*12,0,IF(AND(ISNUMBER(C71),C71&gt;=0,C71&lt;=1),0,1))</f>
        <v>0</v>
      </c>
    </row>
    <row r="72" spans="1:32" ht="21" customHeight="1">
      <c r="A72" s="68">
        <f>67</f>
        <v>67</v>
      </c>
      <c r="B72" s="69">
        <f>EDATE(入力設定!$B$7,A72-1)</f>
        <v>48335</v>
      </c>
      <c r="C72" s="80">
        <f>INDEX(入力設定!$C$15:$C$24,INT((A72-1)/60)+1)</f>
        <v>2.5000000000000001E-2</v>
      </c>
      <c r="D72" s="70">
        <f t="shared" ca="1" si="39"/>
        <v>27423497.584026594</v>
      </c>
      <c r="E72" s="70">
        <f t="shared" ca="1" si="40"/>
        <v>314</v>
      </c>
      <c r="F72" s="70">
        <f ca="1">IF(D72+Z72&lt;0.000001,0,IF(D72&lt;0.000001,F71,IF(OR(AE72=1,AND(K71&gt;0,入力設定!$B$8="返済額軽減型",入力設定!$B$11="翌月")),IF(C72=0,D72/MAX(1,E72),D72*(C72/12)/(1-(1+C72/12)^(-MAX(1,E72)))),F71)))</f>
        <v>119082.40831799689</v>
      </c>
      <c r="G72" s="70">
        <f t="shared" ca="1" si="22"/>
        <v>119082.40831799689</v>
      </c>
      <c r="H72" s="70">
        <f t="shared" ca="1" si="23"/>
        <v>57132.286633388743</v>
      </c>
      <c r="I72" s="70">
        <f t="shared" ca="1" si="24"/>
        <v>61950.121684608144</v>
      </c>
      <c r="J72" s="70">
        <f>SUMIFS(入力設定!$G$5:$G$24,入力設定!$F$5:$F$24,A72)</f>
        <v>0</v>
      </c>
      <c r="K72" s="70">
        <f t="shared" ca="1" si="25"/>
        <v>0</v>
      </c>
      <c r="L72" s="70">
        <f ca="1">IF(K72&gt;0,入力設定!$B$9,0)</f>
        <v>0</v>
      </c>
      <c r="M72" s="70">
        <f t="shared" ca="1" si="26"/>
        <v>27361547.462341987</v>
      </c>
      <c r="N72" s="70">
        <f ca="1">IF(M72+AA72&lt;0.000001,0,IF(AND(K72&gt;0,入力設定!$B$8="期間短縮型",AA72&lt;0.000001,F72&gt;M72*C72/12),MAX(1,MIN(E72-1,IF(C72=0,ROUNDUP(M72/F72,0),ROUNDUP(-LN(1-M72*(C72/12)/F72)/LN(1+C72/12),0)))),MAX(1,E72-1)))</f>
        <v>313</v>
      </c>
      <c r="O72" s="70">
        <f t="shared" ca="1" si="27"/>
        <v>119082.40831799689</v>
      </c>
      <c r="P72" s="70">
        <f t="shared" ca="1" si="41"/>
        <v>30445601.190024015</v>
      </c>
      <c r="Q72" s="70">
        <f ca="1">IF(OR(A72&gt;入力設定!$B$6*12,P72+AC72&lt;0.000001),0,IF(P72&lt;0.000001,Q71,IF(AE72=1,IF(C72=0,P72/MAX(1,入力設定!$B$6*12-A72+1),P72*(C72/12)/(1-(1+C72/12)^(-MAX(1,入力設定!$B$6*12-A72+1)))),Q71)))</f>
        <v>121667.61455625904</v>
      </c>
      <c r="R72" s="70">
        <f ca="1">IF(P72+AC72&lt;0.000001,0,IF(A72=入力設定!$B$6*12,P72+AB72+AC72,MIN(Q72,P72+AB72+AC72)))</f>
        <v>121667.61455625904</v>
      </c>
      <c r="S72" s="70">
        <f t="shared" ca="1" si="28"/>
        <v>63428.335812550038</v>
      </c>
      <c r="T72" s="70">
        <f t="shared" ca="1" si="29"/>
        <v>58239.278743709001</v>
      </c>
      <c r="U72" s="70">
        <f t="shared" ca="1" si="30"/>
        <v>30387361.911280304</v>
      </c>
      <c r="V72" s="70">
        <f t="shared" ca="1" si="31"/>
        <v>0</v>
      </c>
      <c r="W72" s="70">
        <f t="shared" ca="1" si="32"/>
        <v>0</v>
      </c>
      <c r="X72" s="70">
        <f t="shared" ca="1" si="33"/>
        <v>0</v>
      </c>
      <c r="Y72" s="71">
        <f t="shared" ca="1" si="34"/>
        <v>57132.286633388743</v>
      </c>
      <c r="Z72" s="71">
        <f t="shared" ca="1" si="42"/>
        <v>0</v>
      </c>
      <c r="AA72" s="71">
        <f t="shared" ca="1" si="35"/>
        <v>0</v>
      </c>
      <c r="AB72" s="71">
        <f t="shared" ca="1" si="36"/>
        <v>63428.335812550038</v>
      </c>
      <c r="AC72" s="71">
        <f t="shared" ca="1" si="43"/>
        <v>0</v>
      </c>
      <c r="AD72" s="71">
        <f t="shared" ca="1" si="37"/>
        <v>0</v>
      </c>
      <c r="AE72" s="72">
        <f t="shared" si="38"/>
        <v>0</v>
      </c>
      <c r="AF72" s="73">
        <f>IF(A72&gt;入力設定!$B$6*12,0,IF(AND(ISNUMBER(C72),C72&gt;=0,C72&lt;=1),0,1))</f>
        <v>0</v>
      </c>
    </row>
    <row r="73" spans="1:32" ht="21" customHeight="1">
      <c r="A73" s="68">
        <f>68</f>
        <v>68</v>
      </c>
      <c r="B73" s="69">
        <f>EDATE(入力設定!$B$7,A73-1)</f>
        <v>48366</v>
      </c>
      <c r="C73" s="80">
        <f>INDEX(入力設定!$C$15:$C$24,INT((A73-1)/60)+1)</f>
        <v>2.5000000000000001E-2</v>
      </c>
      <c r="D73" s="70">
        <f t="shared" ca="1" si="39"/>
        <v>27361547.462341987</v>
      </c>
      <c r="E73" s="70">
        <f t="shared" ca="1" si="40"/>
        <v>313</v>
      </c>
      <c r="F73" s="70">
        <f ca="1">IF(D73+Z73&lt;0.000001,0,IF(D73&lt;0.000001,F72,IF(OR(AE73=1,AND(K72&gt;0,入力設定!$B$8="返済額軽減型",入力設定!$B$11="翌月")),IF(C73=0,D73/MAX(1,E73),D73*(C73/12)/(1-(1+C73/12)^(-MAX(1,E73)))),F72)))</f>
        <v>119082.40831799689</v>
      </c>
      <c r="G73" s="70">
        <f t="shared" ca="1" si="22"/>
        <v>119082.40831799689</v>
      </c>
      <c r="H73" s="70">
        <f t="shared" ca="1" si="23"/>
        <v>57003.223879879144</v>
      </c>
      <c r="I73" s="70">
        <f t="shared" ca="1" si="24"/>
        <v>62079.184438117743</v>
      </c>
      <c r="J73" s="70">
        <f>SUMIFS(入力設定!$G$5:$G$24,入力設定!$F$5:$F$24,A73)</f>
        <v>0</v>
      </c>
      <c r="K73" s="70">
        <f t="shared" ca="1" si="25"/>
        <v>0</v>
      </c>
      <c r="L73" s="70">
        <f ca="1">IF(K73&gt;0,入力設定!$B$9,0)</f>
        <v>0</v>
      </c>
      <c r="M73" s="70">
        <f t="shared" ca="1" si="26"/>
        <v>27299468.27790387</v>
      </c>
      <c r="N73" s="70">
        <f ca="1">IF(M73+AA73&lt;0.000001,0,IF(AND(K73&gt;0,入力設定!$B$8="期間短縮型",AA73&lt;0.000001,F73&gt;M73*C73/12),MAX(1,MIN(E73-1,IF(C73=0,ROUNDUP(M73/F73,0),ROUNDUP(-LN(1-M73*(C73/12)/F73)/LN(1+C73/12),0)))),MAX(1,E73-1)))</f>
        <v>312</v>
      </c>
      <c r="O73" s="70">
        <f t="shared" ca="1" si="27"/>
        <v>119082.40831799689</v>
      </c>
      <c r="P73" s="70">
        <f t="shared" ca="1" si="41"/>
        <v>30387361.911280304</v>
      </c>
      <c r="Q73" s="70">
        <f ca="1">IF(OR(A73&gt;入力設定!$B$6*12,P73+AC73&lt;0.000001),0,IF(P73&lt;0.000001,Q72,IF(AE73=1,IF(C73=0,P73/MAX(1,入力設定!$B$6*12-A73+1),P73*(C73/12)/(1-(1+C73/12)^(-MAX(1,入力設定!$B$6*12-A73+1)))),Q72)))</f>
        <v>121667.61455625904</v>
      </c>
      <c r="R73" s="70">
        <f ca="1">IF(P73+AC73&lt;0.000001,0,IF(A73=入力設定!$B$6*12,P73+AB73+AC73,MIN(Q73,P73+AB73+AC73)))</f>
        <v>121667.61455625904</v>
      </c>
      <c r="S73" s="70">
        <f t="shared" ca="1" si="28"/>
        <v>63307.003981833965</v>
      </c>
      <c r="T73" s="70">
        <f t="shared" ca="1" si="29"/>
        <v>58360.610574425074</v>
      </c>
      <c r="U73" s="70">
        <f t="shared" ca="1" si="30"/>
        <v>30329001.30070588</v>
      </c>
      <c r="V73" s="70">
        <f t="shared" ca="1" si="31"/>
        <v>0</v>
      </c>
      <c r="W73" s="70">
        <f t="shared" ca="1" si="32"/>
        <v>0</v>
      </c>
      <c r="X73" s="70">
        <f t="shared" ca="1" si="33"/>
        <v>0</v>
      </c>
      <c r="Y73" s="71">
        <f t="shared" ca="1" si="34"/>
        <v>57003.223879879144</v>
      </c>
      <c r="Z73" s="71">
        <f t="shared" ca="1" si="42"/>
        <v>0</v>
      </c>
      <c r="AA73" s="71">
        <f t="shared" ca="1" si="35"/>
        <v>0</v>
      </c>
      <c r="AB73" s="71">
        <f t="shared" ca="1" si="36"/>
        <v>63307.003981833965</v>
      </c>
      <c r="AC73" s="71">
        <f t="shared" ca="1" si="43"/>
        <v>0</v>
      </c>
      <c r="AD73" s="71">
        <f t="shared" ca="1" si="37"/>
        <v>0</v>
      </c>
      <c r="AE73" s="72">
        <f t="shared" si="38"/>
        <v>0</v>
      </c>
      <c r="AF73" s="73">
        <f>IF(A73&gt;入力設定!$B$6*12,0,IF(AND(ISNUMBER(C73),C73&gt;=0,C73&lt;=1),0,1))</f>
        <v>0</v>
      </c>
    </row>
    <row r="74" spans="1:32" ht="21" customHeight="1">
      <c r="A74" s="68">
        <f>69</f>
        <v>69</v>
      </c>
      <c r="B74" s="69">
        <f>EDATE(入力設定!$B$7,A74-1)</f>
        <v>48396</v>
      </c>
      <c r="C74" s="80">
        <f>INDEX(入力設定!$C$15:$C$24,INT((A74-1)/60)+1)</f>
        <v>2.5000000000000001E-2</v>
      </c>
      <c r="D74" s="70">
        <f t="shared" ca="1" si="39"/>
        <v>27299468.27790387</v>
      </c>
      <c r="E74" s="70">
        <f t="shared" ca="1" si="40"/>
        <v>312</v>
      </c>
      <c r="F74" s="70">
        <f ca="1">IF(D74+Z74&lt;0.000001,0,IF(D74&lt;0.000001,F73,IF(OR(AE74=1,AND(K73&gt;0,入力設定!$B$8="返済額軽減型",入力設定!$B$11="翌月")),IF(C74=0,D74/MAX(1,E74),D74*(C74/12)/(1-(1+C74/12)^(-MAX(1,E74)))),F73)))</f>
        <v>119082.40831799689</v>
      </c>
      <c r="G74" s="70">
        <f t="shared" ca="1" si="22"/>
        <v>119082.40831799689</v>
      </c>
      <c r="H74" s="70">
        <f t="shared" ca="1" si="23"/>
        <v>56873.892245633062</v>
      </c>
      <c r="I74" s="70">
        <f t="shared" ca="1" si="24"/>
        <v>62208.516072363826</v>
      </c>
      <c r="J74" s="70">
        <f>SUMIFS(入力設定!$G$5:$G$24,入力設定!$F$5:$F$24,A74)</f>
        <v>0</v>
      </c>
      <c r="K74" s="70">
        <f t="shared" ca="1" si="25"/>
        <v>0</v>
      </c>
      <c r="L74" s="70">
        <f ca="1">IF(K74&gt;0,入力設定!$B$9,0)</f>
        <v>0</v>
      </c>
      <c r="M74" s="70">
        <f t="shared" ca="1" si="26"/>
        <v>27237259.761831507</v>
      </c>
      <c r="N74" s="70">
        <f ca="1">IF(M74+AA74&lt;0.000001,0,IF(AND(K74&gt;0,入力設定!$B$8="期間短縮型",AA74&lt;0.000001,F74&gt;M74*C74/12),MAX(1,MIN(E74-1,IF(C74=0,ROUNDUP(M74/F74,0),ROUNDUP(-LN(1-M74*(C74/12)/F74)/LN(1+C74/12),0)))),MAX(1,E74-1)))</f>
        <v>311</v>
      </c>
      <c r="O74" s="70">
        <f t="shared" ca="1" si="27"/>
        <v>119082.40831799689</v>
      </c>
      <c r="P74" s="70">
        <f t="shared" ca="1" si="41"/>
        <v>30329001.30070588</v>
      </c>
      <c r="Q74" s="70">
        <f ca="1">IF(OR(A74&gt;入力設定!$B$6*12,P74+AC74&lt;0.000001),0,IF(P74&lt;0.000001,Q73,IF(AE74=1,IF(C74=0,P74/MAX(1,入力設定!$B$6*12-A74+1),P74*(C74/12)/(1-(1+C74/12)^(-MAX(1,入力設定!$B$6*12-A74+1)))),Q73)))</f>
        <v>121667.61455625904</v>
      </c>
      <c r="R74" s="70">
        <f ca="1">IF(P74+AC74&lt;0.000001,0,IF(A74=入力設定!$B$6*12,P74+AB74+AC74,MIN(Q74,P74+AB74+AC74)))</f>
        <v>121667.61455625904</v>
      </c>
      <c r="S74" s="70">
        <f t="shared" ca="1" si="28"/>
        <v>63185.419376470585</v>
      </c>
      <c r="T74" s="70">
        <f t="shared" ca="1" si="29"/>
        <v>58482.195179788454</v>
      </c>
      <c r="U74" s="70">
        <f t="shared" ca="1" si="30"/>
        <v>30270519.10552609</v>
      </c>
      <c r="V74" s="70">
        <f t="shared" ca="1" si="31"/>
        <v>0</v>
      </c>
      <c r="W74" s="70">
        <f t="shared" ca="1" si="32"/>
        <v>0</v>
      </c>
      <c r="X74" s="70">
        <f t="shared" ca="1" si="33"/>
        <v>0</v>
      </c>
      <c r="Y74" s="71">
        <f t="shared" ca="1" si="34"/>
        <v>56873.892245633062</v>
      </c>
      <c r="Z74" s="71">
        <f t="shared" ca="1" si="42"/>
        <v>0</v>
      </c>
      <c r="AA74" s="71">
        <f t="shared" ca="1" si="35"/>
        <v>0</v>
      </c>
      <c r="AB74" s="71">
        <f t="shared" ca="1" si="36"/>
        <v>63185.419376470585</v>
      </c>
      <c r="AC74" s="71">
        <f t="shared" ca="1" si="43"/>
        <v>0</v>
      </c>
      <c r="AD74" s="71">
        <f t="shared" ca="1" si="37"/>
        <v>0</v>
      </c>
      <c r="AE74" s="72">
        <f t="shared" si="38"/>
        <v>0</v>
      </c>
      <c r="AF74" s="73">
        <f>IF(A74&gt;入力設定!$B$6*12,0,IF(AND(ISNUMBER(C74),C74&gt;=0,C74&lt;=1),0,1))</f>
        <v>0</v>
      </c>
    </row>
    <row r="75" spans="1:32" ht="21" customHeight="1">
      <c r="A75" s="68">
        <f>70</f>
        <v>70</v>
      </c>
      <c r="B75" s="69">
        <f>EDATE(入力設定!$B$7,A75-1)</f>
        <v>48427</v>
      </c>
      <c r="C75" s="80">
        <f>INDEX(入力設定!$C$15:$C$24,INT((A75-1)/60)+1)</f>
        <v>2.5000000000000001E-2</v>
      </c>
      <c r="D75" s="70">
        <f t="shared" ca="1" si="39"/>
        <v>27237259.761831507</v>
      </c>
      <c r="E75" s="70">
        <f t="shared" ca="1" si="40"/>
        <v>311</v>
      </c>
      <c r="F75" s="70">
        <f ca="1">IF(D75+Z75&lt;0.000001,0,IF(D75&lt;0.000001,F74,IF(OR(AE75=1,AND(K74&gt;0,入力設定!$B$8="返済額軽減型",入力設定!$B$11="翌月")),IF(C75=0,D75/MAX(1,E75),D75*(C75/12)/(1-(1+C75/12)^(-MAX(1,E75)))),F74)))</f>
        <v>119082.40831799689</v>
      </c>
      <c r="G75" s="70">
        <f t="shared" ca="1" si="22"/>
        <v>119082.40831799689</v>
      </c>
      <c r="H75" s="70">
        <f t="shared" ca="1" si="23"/>
        <v>56744.291170482313</v>
      </c>
      <c r="I75" s="70">
        <f t="shared" ca="1" si="24"/>
        <v>62338.117147514575</v>
      </c>
      <c r="J75" s="70">
        <f>SUMIFS(入力設定!$G$5:$G$24,入力設定!$F$5:$F$24,A75)</f>
        <v>0</v>
      </c>
      <c r="K75" s="70">
        <f t="shared" ca="1" si="25"/>
        <v>0</v>
      </c>
      <c r="L75" s="70">
        <f ca="1">IF(K75&gt;0,入力設定!$B$9,0)</f>
        <v>0</v>
      </c>
      <c r="M75" s="70">
        <f t="shared" ca="1" si="26"/>
        <v>27174921.644683994</v>
      </c>
      <c r="N75" s="70">
        <f ca="1">IF(M75+AA75&lt;0.000001,0,IF(AND(K75&gt;0,入力設定!$B$8="期間短縮型",AA75&lt;0.000001,F75&gt;M75*C75/12),MAX(1,MIN(E75-1,IF(C75=0,ROUNDUP(M75/F75,0),ROUNDUP(-LN(1-M75*(C75/12)/F75)/LN(1+C75/12),0)))),MAX(1,E75-1)))</f>
        <v>310</v>
      </c>
      <c r="O75" s="70">
        <f t="shared" ca="1" si="27"/>
        <v>119082.40831799689</v>
      </c>
      <c r="P75" s="70">
        <f t="shared" ca="1" si="41"/>
        <v>30270519.10552609</v>
      </c>
      <c r="Q75" s="70">
        <f ca="1">IF(OR(A75&gt;入力設定!$B$6*12,P75+AC75&lt;0.000001),0,IF(P75&lt;0.000001,Q74,IF(AE75=1,IF(C75=0,P75/MAX(1,入力設定!$B$6*12-A75+1),P75*(C75/12)/(1-(1+C75/12)^(-MAX(1,入力設定!$B$6*12-A75+1)))),Q74)))</f>
        <v>121667.61455625904</v>
      </c>
      <c r="R75" s="70">
        <f ca="1">IF(P75+AC75&lt;0.000001,0,IF(A75=入力設定!$B$6*12,P75+AB75+AC75,MIN(Q75,P75+AB75+AC75)))</f>
        <v>121667.61455625904</v>
      </c>
      <c r="S75" s="70">
        <f t="shared" ca="1" si="28"/>
        <v>63063.581469846024</v>
      </c>
      <c r="T75" s="70">
        <f t="shared" ca="1" si="29"/>
        <v>58604.033086413016</v>
      </c>
      <c r="U75" s="70">
        <f t="shared" ca="1" si="30"/>
        <v>30211915.072439678</v>
      </c>
      <c r="V75" s="70">
        <f t="shared" ca="1" si="31"/>
        <v>0</v>
      </c>
      <c r="W75" s="70">
        <f t="shared" ca="1" si="32"/>
        <v>0</v>
      </c>
      <c r="X75" s="70">
        <f t="shared" ca="1" si="33"/>
        <v>0</v>
      </c>
      <c r="Y75" s="71">
        <f t="shared" ca="1" si="34"/>
        <v>56744.291170482313</v>
      </c>
      <c r="Z75" s="71">
        <f t="shared" ca="1" si="42"/>
        <v>0</v>
      </c>
      <c r="AA75" s="71">
        <f t="shared" ca="1" si="35"/>
        <v>0</v>
      </c>
      <c r="AB75" s="71">
        <f t="shared" ca="1" si="36"/>
        <v>63063.581469846024</v>
      </c>
      <c r="AC75" s="71">
        <f t="shared" ca="1" si="43"/>
        <v>0</v>
      </c>
      <c r="AD75" s="71">
        <f t="shared" ca="1" si="37"/>
        <v>0</v>
      </c>
      <c r="AE75" s="72">
        <f t="shared" si="38"/>
        <v>0</v>
      </c>
      <c r="AF75" s="73">
        <f>IF(A75&gt;入力設定!$B$6*12,0,IF(AND(ISNUMBER(C75),C75&gt;=0,C75&lt;=1),0,1))</f>
        <v>0</v>
      </c>
    </row>
    <row r="76" spans="1:32" ht="21" customHeight="1">
      <c r="A76" s="68">
        <f>71</f>
        <v>71</v>
      </c>
      <c r="B76" s="69">
        <f>EDATE(入力設定!$B$7,A76-1)</f>
        <v>48458</v>
      </c>
      <c r="C76" s="80">
        <f>INDEX(入力設定!$C$15:$C$24,INT((A76-1)/60)+1)</f>
        <v>2.5000000000000001E-2</v>
      </c>
      <c r="D76" s="70">
        <f t="shared" ca="1" si="39"/>
        <v>27174921.644683994</v>
      </c>
      <c r="E76" s="70">
        <f t="shared" ca="1" si="40"/>
        <v>310</v>
      </c>
      <c r="F76" s="70">
        <f ca="1">IF(D76+Z76&lt;0.000001,0,IF(D76&lt;0.000001,F75,IF(OR(AE76=1,AND(K75&gt;0,入力設定!$B$8="返済額軽減型",入力設定!$B$11="翌月")),IF(C76=0,D76/MAX(1,E76),D76*(C76/12)/(1-(1+C76/12)^(-MAX(1,E76)))),F75)))</f>
        <v>119082.40831799689</v>
      </c>
      <c r="G76" s="70">
        <f t="shared" ca="1" si="22"/>
        <v>119082.40831799689</v>
      </c>
      <c r="H76" s="70">
        <f t="shared" ca="1" si="23"/>
        <v>56614.420093091663</v>
      </c>
      <c r="I76" s="70">
        <f t="shared" ca="1" si="24"/>
        <v>62467.988224905224</v>
      </c>
      <c r="J76" s="70">
        <f>SUMIFS(入力設定!$G$5:$G$24,入力設定!$F$5:$F$24,A76)</f>
        <v>0</v>
      </c>
      <c r="K76" s="70">
        <f t="shared" ca="1" si="25"/>
        <v>0</v>
      </c>
      <c r="L76" s="70">
        <f ca="1">IF(K76&gt;0,入力設定!$B$9,0)</f>
        <v>0</v>
      </c>
      <c r="M76" s="70">
        <f t="shared" ca="1" si="26"/>
        <v>27112453.656459089</v>
      </c>
      <c r="N76" s="70">
        <f ca="1">IF(M76+AA76&lt;0.000001,0,IF(AND(K76&gt;0,入力設定!$B$8="期間短縮型",AA76&lt;0.000001,F76&gt;M76*C76/12),MAX(1,MIN(E76-1,IF(C76=0,ROUNDUP(M76/F76,0),ROUNDUP(-LN(1-M76*(C76/12)/F76)/LN(1+C76/12),0)))),MAX(1,E76-1)))</f>
        <v>309</v>
      </c>
      <c r="O76" s="70">
        <f t="shared" ca="1" si="27"/>
        <v>119082.40831799689</v>
      </c>
      <c r="P76" s="70">
        <f t="shared" ca="1" si="41"/>
        <v>30211915.072439678</v>
      </c>
      <c r="Q76" s="70">
        <f ca="1">IF(OR(A76&gt;入力設定!$B$6*12,P76+AC76&lt;0.000001),0,IF(P76&lt;0.000001,Q75,IF(AE76=1,IF(C76=0,P76/MAX(1,入力設定!$B$6*12-A76+1),P76*(C76/12)/(1-(1+C76/12)^(-MAX(1,入力設定!$B$6*12-A76+1)))),Q75)))</f>
        <v>121667.61455625904</v>
      </c>
      <c r="R76" s="70">
        <f ca="1">IF(P76+AC76&lt;0.000001,0,IF(A76=入力設定!$B$6*12,P76+AB76+AC76,MIN(Q76,P76+AB76+AC76)))</f>
        <v>121667.61455625904</v>
      </c>
      <c r="S76" s="70">
        <f t="shared" ca="1" si="28"/>
        <v>62941.489734249335</v>
      </c>
      <c r="T76" s="70">
        <f t="shared" ca="1" si="29"/>
        <v>58726.124822009704</v>
      </c>
      <c r="U76" s="70">
        <f t="shared" ca="1" si="30"/>
        <v>30153188.947617669</v>
      </c>
      <c r="V76" s="70">
        <f t="shared" ca="1" si="31"/>
        <v>0</v>
      </c>
      <c r="W76" s="70">
        <f t="shared" ca="1" si="32"/>
        <v>0</v>
      </c>
      <c r="X76" s="70">
        <f t="shared" ca="1" si="33"/>
        <v>0</v>
      </c>
      <c r="Y76" s="71">
        <f t="shared" ca="1" si="34"/>
        <v>56614.420093091663</v>
      </c>
      <c r="Z76" s="71">
        <f t="shared" ca="1" si="42"/>
        <v>0</v>
      </c>
      <c r="AA76" s="71">
        <f t="shared" ca="1" si="35"/>
        <v>0</v>
      </c>
      <c r="AB76" s="71">
        <f t="shared" ca="1" si="36"/>
        <v>62941.489734249335</v>
      </c>
      <c r="AC76" s="71">
        <f t="shared" ca="1" si="43"/>
        <v>0</v>
      </c>
      <c r="AD76" s="71">
        <f t="shared" ca="1" si="37"/>
        <v>0</v>
      </c>
      <c r="AE76" s="72">
        <f t="shared" si="38"/>
        <v>0</v>
      </c>
      <c r="AF76" s="73">
        <f>IF(A76&gt;入力設定!$B$6*12,0,IF(AND(ISNUMBER(C76),C76&gt;=0,C76&lt;=1),0,1))</f>
        <v>0</v>
      </c>
    </row>
    <row r="77" spans="1:32" ht="21" customHeight="1">
      <c r="A77" s="68">
        <f>72</f>
        <v>72</v>
      </c>
      <c r="B77" s="69">
        <f>EDATE(入力設定!$B$7,A77-1)</f>
        <v>48488</v>
      </c>
      <c r="C77" s="80">
        <f>INDEX(入力設定!$C$15:$C$24,INT((A77-1)/60)+1)</f>
        <v>2.5000000000000001E-2</v>
      </c>
      <c r="D77" s="70">
        <f t="shared" ca="1" si="39"/>
        <v>27112453.656459089</v>
      </c>
      <c r="E77" s="70">
        <f t="shared" ca="1" si="40"/>
        <v>309</v>
      </c>
      <c r="F77" s="70">
        <f ca="1">IF(D77+Z77&lt;0.000001,0,IF(D77&lt;0.000001,F76,IF(OR(AE77=1,AND(K76&gt;0,入力設定!$B$8="返済額軽減型",入力設定!$B$11="翌月")),IF(C77=0,D77/MAX(1,E77),D77*(C77/12)/(1-(1+C77/12)^(-MAX(1,E77)))),F76)))</f>
        <v>119082.40831799689</v>
      </c>
      <c r="G77" s="70">
        <f t="shared" ca="1" si="22"/>
        <v>119082.40831799689</v>
      </c>
      <c r="H77" s="70">
        <f t="shared" ca="1" si="23"/>
        <v>56484.278450956444</v>
      </c>
      <c r="I77" s="70">
        <f t="shared" ca="1" si="24"/>
        <v>62598.129867040443</v>
      </c>
      <c r="J77" s="70">
        <f>SUMIFS(入力設定!$G$5:$G$24,入力設定!$F$5:$F$24,A77)</f>
        <v>0</v>
      </c>
      <c r="K77" s="70">
        <f t="shared" ca="1" si="25"/>
        <v>0</v>
      </c>
      <c r="L77" s="70">
        <f ca="1">IF(K77&gt;0,入力設定!$B$9,0)</f>
        <v>0</v>
      </c>
      <c r="M77" s="70">
        <f t="shared" ca="1" si="26"/>
        <v>27049855.52659205</v>
      </c>
      <c r="N77" s="70">
        <f ca="1">IF(M77+AA77&lt;0.000001,0,IF(AND(K77&gt;0,入力設定!$B$8="期間短縮型",AA77&lt;0.000001,F77&gt;M77*C77/12),MAX(1,MIN(E77-1,IF(C77=0,ROUNDUP(M77/F77,0),ROUNDUP(-LN(1-M77*(C77/12)/F77)/LN(1+C77/12),0)))),MAX(1,E77-1)))</f>
        <v>308</v>
      </c>
      <c r="O77" s="70">
        <f t="shared" ca="1" si="27"/>
        <v>119082.40831799689</v>
      </c>
      <c r="P77" s="70">
        <f t="shared" ca="1" si="41"/>
        <v>30153188.947617669</v>
      </c>
      <c r="Q77" s="70">
        <f ca="1">IF(OR(A77&gt;入力設定!$B$6*12,P77+AC77&lt;0.000001),0,IF(P77&lt;0.000001,Q76,IF(AE77=1,IF(C77=0,P77/MAX(1,入力設定!$B$6*12-A77+1),P77*(C77/12)/(1-(1+C77/12)^(-MAX(1,入力設定!$B$6*12-A77+1)))),Q76)))</f>
        <v>121667.61455625904</v>
      </c>
      <c r="R77" s="70">
        <f ca="1">IF(P77+AC77&lt;0.000001,0,IF(A77=入力設定!$B$6*12,P77+AB77+AC77,MIN(Q77,P77+AB77+AC77)))</f>
        <v>121667.61455625904</v>
      </c>
      <c r="S77" s="70">
        <f t="shared" ca="1" si="28"/>
        <v>62819.143640870148</v>
      </c>
      <c r="T77" s="70">
        <f t="shared" ca="1" si="29"/>
        <v>58848.470915388891</v>
      </c>
      <c r="U77" s="70">
        <f t="shared" ca="1" si="30"/>
        <v>30094340.47670228</v>
      </c>
      <c r="V77" s="70">
        <f t="shared" ca="1" si="31"/>
        <v>0</v>
      </c>
      <c r="W77" s="70">
        <f t="shared" ca="1" si="32"/>
        <v>0</v>
      </c>
      <c r="X77" s="70">
        <f t="shared" ca="1" si="33"/>
        <v>0</v>
      </c>
      <c r="Y77" s="71">
        <f t="shared" ca="1" si="34"/>
        <v>56484.278450956444</v>
      </c>
      <c r="Z77" s="71">
        <f t="shared" ca="1" si="42"/>
        <v>0</v>
      </c>
      <c r="AA77" s="71">
        <f t="shared" ca="1" si="35"/>
        <v>0</v>
      </c>
      <c r="AB77" s="71">
        <f t="shared" ca="1" si="36"/>
        <v>62819.143640870148</v>
      </c>
      <c r="AC77" s="71">
        <f t="shared" ca="1" si="43"/>
        <v>0</v>
      </c>
      <c r="AD77" s="71">
        <f t="shared" ca="1" si="37"/>
        <v>0</v>
      </c>
      <c r="AE77" s="72">
        <f t="shared" si="38"/>
        <v>0</v>
      </c>
      <c r="AF77" s="73">
        <f>IF(A77&gt;入力設定!$B$6*12,0,IF(AND(ISNUMBER(C77),C77&gt;=0,C77&lt;=1),0,1))</f>
        <v>0</v>
      </c>
    </row>
    <row r="78" spans="1:32" ht="21" customHeight="1">
      <c r="A78" s="68">
        <f>73</f>
        <v>73</v>
      </c>
      <c r="B78" s="69">
        <f>EDATE(入力設定!$B$7,A78-1)</f>
        <v>48519</v>
      </c>
      <c r="C78" s="80">
        <f>INDEX(入力設定!$C$15:$C$24,INT((A78-1)/60)+1)</f>
        <v>2.5000000000000001E-2</v>
      </c>
      <c r="D78" s="70">
        <f t="shared" ca="1" si="39"/>
        <v>27049855.52659205</v>
      </c>
      <c r="E78" s="70">
        <f t="shared" ca="1" si="40"/>
        <v>308</v>
      </c>
      <c r="F78" s="70">
        <f ca="1">IF(D78+Z78&lt;0.000001,0,IF(D78&lt;0.000001,F77,IF(OR(AE78=1,AND(K77&gt;0,入力設定!$B$8="返済額軽減型",入力設定!$B$11="翌月")),IF(C78=0,D78/MAX(1,E78),D78*(C78/12)/(1-(1+C78/12)^(-MAX(1,E78)))),F77)))</f>
        <v>119082.40831799689</v>
      </c>
      <c r="G78" s="70">
        <f t="shared" ca="1" si="22"/>
        <v>119082.40831799689</v>
      </c>
      <c r="H78" s="70">
        <f t="shared" ca="1" si="23"/>
        <v>56353.865680400108</v>
      </c>
      <c r="I78" s="70">
        <f t="shared" ca="1" si="24"/>
        <v>62728.54263759678</v>
      </c>
      <c r="J78" s="70">
        <f>SUMIFS(入力設定!$G$5:$G$24,入力設定!$F$5:$F$24,A78)</f>
        <v>0</v>
      </c>
      <c r="K78" s="70">
        <f t="shared" ca="1" si="25"/>
        <v>0</v>
      </c>
      <c r="L78" s="70">
        <f ca="1">IF(K78&gt;0,入力設定!$B$9,0)</f>
        <v>0</v>
      </c>
      <c r="M78" s="70">
        <f t="shared" ca="1" si="26"/>
        <v>26987126.983954452</v>
      </c>
      <c r="N78" s="70">
        <f ca="1">IF(M78+AA78&lt;0.000001,0,IF(AND(K78&gt;0,入力設定!$B$8="期間短縮型",AA78&lt;0.000001,F78&gt;M78*C78/12),MAX(1,MIN(E78-1,IF(C78=0,ROUNDUP(M78/F78,0),ROUNDUP(-LN(1-M78*(C78/12)/F78)/LN(1+C78/12),0)))),MAX(1,E78-1)))</f>
        <v>307</v>
      </c>
      <c r="O78" s="70">
        <f t="shared" ca="1" si="27"/>
        <v>119082.40831799689</v>
      </c>
      <c r="P78" s="70">
        <f t="shared" ca="1" si="41"/>
        <v>30094340.47670228</v>
      </c>
      <c r="Q78" s="70">
        <f ca="1">IF(OR(A78&gt;入力設定!$B$6*12,P78+AC78&lt;0.000001),0,IF(P78&lt;0.000001,Q77,IF(AE78=1,IF(C78=0,P78/MAX(1,入力設定!$B$6*12-A78+1),P78*(C78/12)/(1-(1+C78/12)^(-MAX(1,入力設定!$B$6*12-A78+1)))),Q77)))</f>
        <v>121667.61455625904</v>
      </c>
      <c r="R78" s="70">
        <f ca="1">IF(P78+AC78&lt;0.000001,0,IF(A78=入力設定!$B$6*12,P78+AB78+AC78,MIN(Q78,P78+AB78+AC78)))</f>
        <v>121667.61455625904</v>
      </c>
      <c r="S78" s="70">
        <f t="shared" ca="1" si="28"/>
        <v>62696.542659796425</v>
      </c>
      <c r="T78" s="70">
        <f t="shared" ca="1" si="29"/>
        <v>58971.071896462614</v>
      </c>
      <c r="U78" s="70">
        <f t="shared" ca="1" si="30"/>
        <v>30035369.404805817</v>
      </c>
      <c r="V78" s="70">
        <f t="shared" ca="1" si="31"/>
        <v>0</v>
      </c>
      <c r="W78" s="70">
        <f t="shared" ca="1" si="32"/>
        <v>0</v>
      </c>
      <c r="X78" s="70">
        <f t="shared" ca="1" si="33"/>
        <v>0</v>
      </c>
      <c r="Y78" s="71">
        <f t="shared" ca="1" si="34"/>
        <v>56353.865680400108</v>
      </c>
      <c r="Z78" s="71">
        <f t="shared" ca="1" si="42"/>
        <v>0</v>
      </c>
      <c r="AA78" s="71">
        <f t="shared" ca="1" si="35"/>
        <v>0</v>
      </c>
      <c r="AB78" s="71">
        <f t="shared" ca="1" si="36"/>
        <v>62696.542659796425</v>
      </c>
      <c r="AC78" s="71">
        <f t="shared" ca="1" si="43"/>
        <v>0</v>
      </c>
      <c r="AD78" s="71">
        <f t="shared" ca="1" si="37"/>
        <v>0</v>
      </c>
      <c r="AE78" s="72">
        <f t="shared" si="38"/>
        <v>0</v>
      </c>
      <c r="AF78" s="73">
        <f>IF(A78&gt;入力設定!$B$6*12,0,IF(AND(ISNUMBER(C78),C78&gt;=0,C78&lt;=1),0,1))</f>
        <v>0</v>
      </c>
    </row>
    <row r="79" spans="1:32" ht="21" customHeight="1">
      <c r="A79" s="68">
        <f>74</f>
        <v>74</v>
      </c>
      <c r="B79" s="69">
        <f>EDATE(入力設定!$B$7,A79-1)</f>
        <v>48549</v>
      </c>
      <c r="C79" s="80">
        <f>INDEX(入力設定!$C$15:$C$24,INT((A79-1)/60)+1)</f>
        <v>2.5000000000000001E-2</v>
      </c>
      <c r="D79" s="70">
        <f t="shared" ca="1" si="39"/>
        <v>26987126.983954452</v>
      </c>
      <c r="E79" s="70">
        <f t="shared" ca="1" si="40"/>
        <v>307</v>
      </c>
      <c r="F79" s="70">
        <f ca="1">IF(D79+Z79&lt;0.000001,0,IF(D79&lt;0.000001,F78,IF(OR(AE79=1,AND(K78&gt;0,入力設定!$B$8="返済額軽減型",入力設定!$B$11="翌月")),IF(C79=0,D79/MAX(1,E79),D79*(C79/12)/(1-(1+C79/12)^(-MAX(1,E79)))),F78)))</f>
        <v>119082.40831799689</v>
      </c>
      <c r="G79" s="70">
        <f t="shared" ca="1" si="22"/>
        <v>119082.40831799689</v>
      </c>
      <c r="H79" s="70">
        <f t="shared" ca="1" si="23"/>
        <v>56223.181216571778</v>
      </c>
      <c r="I79" s="70">
        <f t="shared" ca="1" si="24"/>
        <v>62859.227101425109</v>
      </c>
      <c r="J79" s="70">
        <f>SUMIFS(入力設定!$G$5:$G$24,入力設定!$F$5:$F$24,A79)</f>
        <v>0</v>
      </c>
      <c r="K79" s="70">
        <f t="shared" ca="1" si="25"/>
        <v>0</v>
      </c>
      <c r="L79" s="70">
        <f ca="1">IF(K79&gt;0,入力設定!$B$9,0)</f>
        <v>0</v>
      </c>
      <c r="M79" s="70">
        <f t="shared" ca="1" si="26"/>
        <v>26924267.756853025</v>
      </c>
      <c r="N79" s="70">
        <f ca="1">IF(M79+AA79&lt;0.000001,0,IF(AND(K79&gt;0,入力設定!$B$8="期間短縮型",AA79&lt;0.000001,F79&gt;M79*C79/12),MAX(1,MIN(E79-1,IF(C79=0,ROUNDUP(M79/F79,0),ROUNDUP(-LN(1-M79*(C79/12)/F79)/LN(1+C79/12),0)))),MAX(1,E79-1)))</f>
        <v>306</v>
      </c>
      <c r="O79" s="70">
        <f t="shared" ca="1" si="27"/>
        <v>119082.40831799689</v>
      </c>
      <c r="P79" s="70">
        <f t="shared" ca="1" si="41"/>
        <v>30035369.404805817</v>
      </c>
      <c r="Q79" s="70">
        <f ca="1">IF(OR(A79&gt;入力設定!$B$6*12,P79+AC79&lt;0.000001),0,IF(P79&lt;0.000001,Q78,IF(AE79=1,IF(C79=0,P79/MAX(1,入力設定!$B$6*12-A79+1),P79*(C79/12)/(1-(1+C79/12)^(-MAX(1,入力設定!$B$6*12-A79+1)))),Q78)))</f>
        <v>121667.61455625904</v>
      </c>
      <c r="R79" s="70">
        <f ca="1">IF(P79+AC79&lt;0.000001,0,IF(A79=入力設定!$B$6*12,P79+AB79+AC79,MIN(Q79,P79+AB79+AC79)))</f>
        <v>121667.61455625904</v>
      </c>
      <c r="S79" s="70">
        <f t="shared" ca="1" si="28"/>
        <v>62573.686260012124</v>
      </c>
      <c r="T79" s="70">
        <f t="shared" ca="1" si="29"/>
        <v>59093.928296246915</v>
      </c>
      <c r="U79" s="70">
        <f t="shared" ca="1" si="30"/>
        <v>29976275.476509571</v>
      </c>
      <c r="V79" s="70">
        <f t="shared" ca="1" si="31"/>
        <v>0</v>
      </c>
      <c r="W79" s="70">
        <f t="shared" ca="1" si="32"/>
        <v>0</v>
      </c>
      <c r="X79" s="70">
        <f t="shared" ca="1" si="33"/>
        <v>0</v>
      </c>
      <c r="Y79" s="71">
        <f t="shared" ca="1" si="34"/>
        <v>56223.181216571778</v>
      </c>
      <c r="Z79" s="71">
        <f t="shared" ca="1" si="42"/>
        <v>0</v>
      </c>
      <c r="AA79" s="71">
        <f t="shared" ca="1" si="35"/>
        <v>0</v>
      </c>
      <c r="AB79" s="71">
        <f t="shared" ca="1" si="36"/>
        <v>62573.686260012124</v>
      </c>
      <c r="AC79" s="71">
        <f t="shared" ca="1" si="43"/>
        <v>0</v>
      </c>
      <c r="AD79" s="71">
        <f t="shared" ca="1" si="37"/>
        <v>0</v>
      </c>
      <c r="AE79" s="72">
        <f t="shared" si="38"/>
        <v>0</v>
      </c>
      <c r="AF79" s="73">
        <f>IF(A79&gt;入力設定!$B$6*12,0,IF(AND(ISNUMBER(C79),C79&gt;=0,C79&lt;=1),0,1))</f>
        <v>0</v>
      </c>
    </row>
    <row r="80" spans="1:32" ht="21" customHeight="1">
      <c r="A80" s="68">
        <f>75</f>
        <v>75</v>
      </c>
      <c r="B80" s="69">
        <f>EDATE(入力設定!$B$7,A80-1)</f>
        <v>48580</v>
      </c>
      <c r="C80" s="80">
        <f>INDEX(入力設定!$C$15:$C$24,INT((A80-1)/60)+1)</f>
        <v>2.5000000000000001E-2</v>
      </c>
      <c r="D80" s="70">
        <f t="shared" ca="1" si="39"/>
        <v>26924267.756853025</v>
      </c>
      <c r="E80" s="70">
        <f t="shared" ca="1" si="40"/>
        <v>306</v>
      </c>
      <c r="F80" s="70">
        <f ca="1">IF(D80+Z80&lt;0.000001,0,IF(D80&lt;0.000001,F79,IF(OR(AE80=1,AND(K79&gt;0,入力設定!$B$8="返済額軽減型",入力設定!$B$11="翌月")),IF(C80=0,D80/MAX(1,E80),D80*(C80/12)/(1-(1+C80/12)^(-MAX(1,E80)))),F79)))</f>
        <v>119082.40831799689</v>
      </c>
      <c r="G80" s="70">
        <f t="shared" ca="1" si="22"/>
        <v>119082.40831799689</v>
      </c>
      <c r="H80" s="70">
        <f t="shared" ca="1" si="23"/>
        <v>56092.224493443813</v>
      </c>
      <c r="I80" s="70">
        <f t="shared" ca="1" si="24"/>
        <v>62990.183824553074</v>
      </c>
      <c r="J80" s="70">
        <f>SUMIFS(入力設定!$G$5:$G$24,入力設定!$F$5:$F$24,A80)</f>
        <v>0</v>
      </c>
      <c r="K80" s="70">
        <f t="shared" ca="1" si="25"/>
        <v>0</v>
      </c>
      <c r="L80" s="70">
        <f ca="1">IF(K80&gt;0,入力設定!$B$9,0)</f>
        <v>0</v>
      </c>
      <c r="M80" s="70">
        <f t="shared" ca="1" si="26"/>
        <v>26861277.573028471</v>
      </c>
      <c r="N80" s="70">
        <f ca="1">IF(M80+AA80&lt;0.000001,0,IF(AND(K80&gt;0,入力設定!$B$8="期間短縮型",AA80&lt;0.000001,F80&gt;M80*C80/12),MAX(1,MIN(E80-1,IF(C80=0,ROUNDUP(M80/F80,0),ROUNDUP(-LN(1-M80*(C80/12)/F80)/LN(1+C80/12),0)))),MAX(1,E80-1)))</f>
        <v>305</v>
      </c>
      <c r="O80" s="70">
        <f t="shared" ca="1" si="27"/>
        <v>119082.40831799689</v>
      </c>
      <c r="P80" s="70">
        <f t="shared" ca="1" si="41"/>
        <v>29976275.476509571</v>
      </c>
      <c r="Q80" s="70">
        <f ca="1">IF(OR(A80&gt;入力設定!$B$6*12,P80+AC80&lt;0.000001),0,IF(P80&lt;0.000001,Q79,IF(AE80=1,IF(C80=0,P80/MAX(1,入力設定!$B$6*12-A80+1),P80*(C80/12)/(1-(1+C80/12)^(-MAX(1,入力設定!$B$6*12-A80+1)))),Q79)))</f>
        <v>121667.61455625904</v>
      </c>
      <c r="R80" s="70">
        <f ca="1">IF(P80+AC80&lt;0.000001,0,IF(A80=入力設定!$B$6*12,P80+AB80+AC80,MIN(Q80,P80+AB80+AC80)))</f>
        <v>121667.61455625904</v>
      </c>
      <c r="S80" s="70">
        <f t="shared" ca="1" si="28"/>
        <v>62450.573909394945</v>
      </c>
      <c r="T80" s="70">
        <f t="shared" ca="1" si="29"/>
        <v>59217.040646864094</v>
      </c>
      <c r="U80" s="70">
        <f t="shared" ca="1" si="30"/>
        <v>29917058.435862709</v>
      </c>
      <c r="V80" s="70">
        <f t="shared" ca="1" si="31"/>
        <v>0</v>
      </c>
      <c r="W80" s="70">
        <f t="shared" ca="1" si="32"/>
        <v>0</v>
      </c>
      <c r="X80" s="70">
        <f t="shared" ca="1" si="33"/>
        <v>0</v>
      </c>
      <c r="Y80" s="71">
        <f t="shared" ca="1" si="34"/>
        <v>56092.224493443813</v>
      </c>
      <c r="Z80" s="71">
        <f t="shared" ca="1" si="42"/>
        <v>0</v>
      </c>
      <c r="AA80" s="71">
        <f t="shared" ca="1" si="35"/>
        <v>0</v>
      </c>
      <c r="AB80" s="71">
        <f t="shared" ca="1" si="36"/>
        <v>62450.573909394945</v>
      </c>
      <c r="AC80" s="71">
        <f t="shared" ca="1" si="43"/>
        <v>0</v>
      </c>
      <c r="AD80" s="71">
        <f t="shared" ca="1" si="37"/>
        <v>0</v>
      </c>
      <c r="AE80" s="72">
        <f t="shared" si="38"/>
        <v>0</v>
      </c>
      <c r="AF80" s="73">
        <f>IF(A80&gt;入力設定!$B$6*12,0,IF(AND(ISNUMBER(C80),C80&gt;=0,C80&lt;=1),0,1))</f>
        <v>0</v>
      </c>
    </row>
    <row r="81" spans="1:32" ht="21" customHeight="1">
      <c r="A81" s="68">
        <f>76</f>
        <v>76</v>
      </c>
      <c r="B81" s="69">
        <f>EDATE(入力設定!$B$7,A81-1)</f>
        <v>48611</v>
      </c>
      <c r="C81" s="80">
        <f>INDEX(入力設定!$C$15:$C$24,INT((A81-1)/60)+1)</f>
        <v>2.5000000000000001E-2</v>
      </c>
      <c r="D81" s="70">
        <f t="shared" ca="1" si="39"/>
        <v>26861277.573028471</v>
      </c>
      <c r="E81" s="70">
        <f t="shared" ca="1" si="40"/>
        <v>305</v>
      </c>
      <c r="F81" s="70">
        <f ca="1">IF(D81+Z81&lt;0.000001,0,IF(D81&lt;0.000001,F80,IF(OR(AE81=1,AND(K80&gt;0,入力設定!$B$8="返済額軽減型",入力設定!$B$11="翌月")),IF(C81=0,D81/MAX(1,E81),D81*(C81/12)/(1-(1+C81/12)^(-MAX(1,E81)))),F80)))</f>
        <v>119082.40831799689</v>
      </c>
      <c r="G81" s="70">
        <f t="shared" ca="1" si="22"/>
        <v>119082.40831799689</v>
      </c>
      <c r="H81" s="70">
        <f t="shared" ca="1" si="23"/>
        <v>55960.994943809317</v>
      </c>
      <c r="I81" s="70">
        <f t="shared" ca="1" si="24"/>
        <v>63121.41337418757</v>
      </c>
      <c r="J81" s="70">
        <f>SUMIFS(入力設定!$G$5:$G$24,入力設定!$F$5:$F$24,A81)</f>
        <v>0</v>
      </c>
      <c r="K81" s="70">
        <f t="shared" ca="1" si="25"/>
        <v>0</v>
      </c>
      <c r="L81" s="70">
        <f ca="1">IF(K81&gt;0,入力設定!$B$9,0)</f>
        <v>0</v>
      </c>
      <c r="M81" s="70">
        <f t="shared" ca="1" si="26"/>
        <v>26798156.159654282</v>
      </c>
      <c r="N81" s="70">
        <f ca="1">IF(M81+AA81&lt;0.000001,0,IF(AND(K81&gt;0,入力設定!$B$8="期間短縮型",AA81&lt;0.000001,F81&gt;M81*C81/12),MAX(1,MIN(E81-1,IF(C81=0,ROUNDUP(M81/F81,0),ROUNDUP(-LN(1-M81*(C81/12)/F81)/LN(1+C81/12),0)))),MAX(1,E81-1)))</f>
        <v>304</v>
      </c>
      <c r="O81" s="70">
        <f t="shared" ca="1" si="27"/>
        <v>119082.40831799689</v>
      </c>
      <c r="P81" s="70">
        <f t="shared" ca="1" si="41"/>
        <v>29917058.435862709</v>
      </c>
      <c r="Q81" s="70">
        <f ca="1">IF(OR(A81&gt;入力設定!$B$6*12,P81+AC81&lt;0.000001),0,IF(P81&lt;0.000001,Q80,IF(AE81=1,IF(C81=0,P81/MAX(1,入力設定!$B$6*12-A81+1),P81*(C81/12)/(1-(1+C81/12)^(-MAX(1,入力設定!$B$6*12-A81+1)))),Q80)))</f>
        <v>121667.61455625904</v>
      </c>
      <c r="R81" s="70">
        <f ca="1">IF(P81+AC81&lt;0.000001,0,IF(A81=入力設定!$B$6*12,P81+AB81+AC81,MIN(Q81,P81+AB81+AC81)))</f>
        <v>121667.61455625904</v>
      </c>
      <c r="S81" s="70">
        <f t="shared" ca="1" si="28"/>
        <v>62327.20507471398</v>
      </c>
      <c r="T81" s="70">
        <f t="shared" ca="1" si="29"/>
        <v>59340.409481545059</v>
      </c>
      <c r="U81" s="70">
        <f t="shared" ca="1" si="30"/>
        <v>29857718.026381165</v>
      </c>
      <c r="V81" s="70">
        <f t="shared" ca="1" si="31"/>
        <v>0</v>
      </c>
      <c r="W81" s="70">
        <f t="shared" ca="1" si="32"/>
        <v>0</v>
      </c>
      <c r="X81" s="70">
        <f t="shared" ca="1" si="33"/>
        <v>0</v>
      </c>
      <c r="Y81" s="71">
        <f t="shared" ca="1" si="34"/>
        <v>55960.994943809317</v>
      </c>
      <c r="Z81" s="71">
        <f t="shared" ca="1" si="42"/>
        <v>0</v>
      </c>
      <c r="AA81" s="71">
        <f t="shared" ca="1" si="35"/>
        <v>0</v>
      </c>
      <c r="AB81" s="71">
        <f t="shared" ca="1" si="36"/>
        <v>62327.20507471398</v>
      </c>
      <c r="AC81" s="71">
        <f t="shared" ca="1" si="43"/>
        <v>0</v>
      </c>
      <c r="AD81" s="71">
        <f t="shared" ca="1" si="37"/>
        <v>0</v>
      </c>
      <c r="AE81" s="72">
        <f t="shared" si="38"/>
        <v>0</v>
      </c>
      <c r="AF81" s="73">
        <f>IF(A81&gt;入力設定!$B$6*12,0,IF(AND(ISNUMBER(C81),C81&gt;=0,C81&lt;=1),0,1))</f>
        <v>0</v>
      </c>
    </row>
    <row r="82" spans="1:32" ht="21" customHeight="1">
      <c r="A82" s="68">
        <f>77</f>
        <v>77</v>
      </c>
      <c r="B82" s="69">
        <f>EDATE(入力設定!$B$7,A82-1)</f>
        <v>48639</v>
      </c>
      <c r="C82" s="80">
        <f>INDEX(入力設定!$C$15:$C$24,INT((A82-1)/60)+1)</f>
        <v>2.5000000000000001E-2</v>
      </c>
      <c r="D82" s="70">
        <f t="shared" ca="1" si="39"/>
        <v>26798156.159654282</v>
      </c>
      <c r="E82" s="70">
        <f t="shared" ca="1" si="40"/>
        <v>304</v>
      </c>
      <c r="F82" s="70">
        <f ca="1">IF(D82+Z82&lt;0.000001,0,IF(D82&lt;0.000001,F81,IF(OR(AE82=1,AND(K81&gt;0,入力設定!$B$8="返済額軽減型",入力設定!$B$11="翌月")),IF(C82=0,D82/MAX(1,E82),D82*(C82/12)/(1-(1+C82/12)^(-MAX(1,E82)))),F81)))</f>
        <v>119082.40831799689</v>
      </c>
      <c r="G82" s="70">
        <f t="shared" ca="1" si="22"/>
        <v>119082.40831799689</v>
      </c>
      <c r="H82" s="70">
        <f t="shared" ca="1" si="23"/>
        <v>55829.491999279759</v>
      </c>
      <c r="I82" s="70">
        <f t="shared" ca="1" si="24"/>
        <v>63252.916318717129</v>
      </c>
      <c r="J82" s="70">
        <f>SUMIFS(入力設定!$G$5:$G$24,入力設定!$F$5:$F$24,A82)</f>
        <v>0</v>
      </c>
      <c r="K82" s="70">
        <f t="shared" ca="1" si="25"/>
        <v>0</v>
      </c>
      <c r="L82" s="70">
        <f ca="1">IF(K82&gt;0,入力設定!$B$9,0)</f>
        <v>0</v>
      </c>
      <c r="M82" s="70">
        <f t="shared" ca="1" si="26"/>
        <v>26734903.243335564</v>
      </c>
      <c r="N82" s="70">
        <f ca="1">IF(M82+AA82&lt;0.000001,0,IF(AND(K82&gt;0,入力設定!$B$8="期間短縮型",AA82&lt;0.000001,F82&gt;M82*C82/12),MAX(1,MIN(E82-1,IF(C82=0,ROUNDUP(M82/F82,0),ROUNDUP(-LN(1-M82*(C82/12)/F82)/LN(1+C82/12),0)))),MAX(1,E82-1)))</f>
        <v>303</v>
      </c>
      <c r="O82" s="70">
        <f t="shared" ca="1" si="27"/>
        <v>119082.40831799689</v>
      </c>
      <c r="P82" s="70">
        <f t="shared" ca="1" si="41"/>
        <v>29857718.026381165</v>
      </c>
      <c r="Q82" s="70">
        <f ca="1">IF(OR(A82&gt;入力設定!$B$6*12,P82+AC82&lt;0.000001),0,IF(P82&lt;0.000001,Q81,IF(AE82=1,IF(C82=0,P82/MAX(1,入力設定!$B$6*12-A82+1),P82*(C82/12)/(1-(1+C82/12)^(-MAX(1,入力設定!$B$6*12-A82+1)))),Q81)))</f>
        <v>121667.61455625904</v>
      </c>
      <c r="R82" s="70">
        <f ca="1">IF(P82+AC82&lt;0.000001,0,IF(A82=入力設定!$B$6*12,P82+AB82+AC82,MIN(Q82,P82+AB82+AC82)))</f>
        <v>121667.61455625904</v>
      </c>
      <c r="S82" s="70">
        <f t="shared" ca="1" si="28"/>
        <v>62203.579221627435</v>
      </c>
      <c r="T82" s="70">
        <f t="shared" ca="1" si="29"/>
        <v>59464.035334631604</v>
      </c>
      <c r="U82" s="70">
        <f t="shared" ca="1" si="30"/>
        <v>29798253.991046533</v>
      </c>
      <c r="V82" s="70">
        <f t="shared" ca="1" si="31"/>
        <v>0</v>
      </c>
      <c r="W82" s="70">
        <f t="shared" ca="1" si="32"/>
        <v>0</v>
      </c>
      <c r="X82" s="70">
        <f t="shared" ca="1" si="33"/>
        <v>0</v>
      </c>
      <c r="Y82" s="71">
        <f t="shared" ca="1" si="34"/>
        <v>55829.491999279759</v>
      </c>
      <c r="Z82" s="71">
        <f t="shared" ca="1" si="42"/>
        <v>0</v>
      </c>
      <c r="AA82" s="71">
        <f t="shared" ca="1" si="35"/>
        <v>0</v>
      </c>
      <c r="AB82" s="71">
        <f t="shared" ca="1" si="36"/>
        <v>62203.579221627435</v>
      </c>
      <c r="AC82" s="71">
        <f t="shared" ca="1" si="43"/>
        <v>0</v>
      </c>
      <c r="AD82" s="71">
        <f t="shared" ca="1" si="37"/>
        <v>0</v>
      </c>
      <c r="AE82" s="72">
        <f t="shared" si="38"/>
        <v>0</v>
      </c>
      <c r="AF82" s="73">
        <f>IF(A82&gt;入力設定!$B$6*12,0,IF(AND(ISNUMBER(C82),C82&gt;=0,C82&lt;=1),0,1))</f>
        <v>0</v>
      </c>
    </row>
    <row r="83" spans="1:32" ht="21" customHeight="1">
      <c r="A83" s="68">
        <f>78</f>
        <v>78</v>
      </c>
      <c r="B83" s="69">
        <f>EDATE(入力設定!$B$7,A83-1)</f>
        <v>48670</v>
      </c>
      <c r="C83" s="80">
        <f>INDEX(入力設定!$C$15:$C$24,INT((A83-1)/60)+1)</f>
        <v>2.5000000000000001E-2</v>
      </c>
      <c r="D83" s="70">
        <f t="shared" ca="1" si="39"/>
        <v>26734903.243335564</v>
      </c>
      <c r="E83" s="70">
        <f t="shared" ca="1" si="40"/>
        <v>303</v>
      </c>
      <c r="F83" s="70">
        <f ca="1">IF(D83+Z83&lt;0.000001,0,IF(D83&lt;0.000001,F82,IF(OR(AE83=1,AND(K82&gt;0,入力設定!$B$8="返済額軽減型",入力設定!$B$11="翌月")),IF(C83=0,D83/MAX(1,E83),D83*(C83/12)/(1-(1+C83/12)^(-MAX(1,E83)))),F82)))</f>
        <v>119082.40831799689</v>
      </c>
      <c r="G83" s="70">
        <f t="shared" ca="1" si="22"/>
        <v>119082.40831799689</v>
      </c>
      <c r="H83" s="70">
        <f t="shared" ca="1" si="23"/>
        <v>55697.715090282429</v>
      </c>
      <c r="I83" s="70">
        <f t="shared" ca="1" si="24"/>
        <v>63384.693227714459</v>
      </c>
      <c r="J83" s="70">
        <f>SUMIFS(入力設定!$G$5:$G$24,入力設定!$F$5:$F$24,A83)</f>
        <v>0</v>
      </c>
      <c r="K83" s="70">
        <f t="shared" ca="1" si="25"/>
        <v>0</v>
      </c>
      <c r="L83" s="70">
        <f ca="1">IF(K83&gt;0,入力設定!$B$9,0)</f>
        <v>0</v>
      </c>
      <c r="M83" s="70">
        <f t="shared" ca="1" si="26"/>
        <v>26671518.550107848</v>
      </c>
      <c r="N83" s="70">
        <f ca="1">IF(M83+AA83&lt;0.000001,0,IF(AND(K83&gt;0,入力設定!$B$8="期間短縮型",AA83&lt;0.000001,F83&gt;M83*C83/12),MAX(1,MIN(E83-1,IF(C83=0,ROUNDUP(M83/F83,0),ROUNDUP(-LN(1-M83*(C83/12)/F83)/LN(1+C83/12),0)))),MAX(1,E83-1)))</f>
        <v>302</v>
      </c>
      <c r="O83" s="70">
        <f t="shared" ca="1" si="27"/>
        <v>119082.40831799689</v>
      </c>
      <c r="P83" s="70">
        <f t="shared" ca="1" si="41"/>
        <v>29798253.991046533</v>
      </c>
      <c r="Q83" s="70">
        <f ca="1">IF(OR(A83&gt;入力設定!$B$6*12,P83+AC83&lt;0.000001),0,IF(P83&lt;0.000001,Q82,IF(AE83=1,IF(C83=0,P83/MAX(1,入力設定!$B$6*12-A83+1),P83*(C83/12)/(1-(1+C83/12)^(-MAX(1,入力設定!$B$6*12-A83+1)))),Q82)))</f>
        <v>121667.61455625904</v>
      </c>
      <c r="R83" s="70">
        <f ca="1">IF(P83+AC83&lt;0.000001,0,IF(A83=入力設定!$B$6*12,P83+AB83+AC83,MIN(Q83,P83+AB83+AC83)))</f>
        <v>121667.61455625904</v>
      </c>
      <c r="S83" s="70">
        <f t="shared" ca="1" si="28"/>
        <v>62079.695814680279</v>
      </c>
      <c r="T83" s="70">
        <f t="shared" ca="1" si="29"/>
        <v>59587.91874157876</v>
      </c>
      <c r="U83" s="70">
        <f t="shared" ca="1" si="30"/>
        <v>29738666.072304953</v>
      </c>
      <c r="V83" s="70">
        <f t="shared" ca="1" si="31"/>
        <v>0</v>
      </c>
      <c r="W83" s="70">
        <f t="shared" ca="1" si="32"/>
        <v>0</v>
      </c>
      <c r="X83" s="70">
        <f t="shared" ca="1" si="33"/>
        <v>0</v>
      </c>
      <c r="Y83" s="71">
        <f t="shared" ca="1" si="34"/>
        <v>55697.715090282429</v>
      </c>
      <c r="Z83" s="71">
        <f t="shared" ca="1" si="42"/>
        <v>0</v>
      </c>
      <c r="AA83" s="71">
        <f t="shared" ca="1" si="35"/>
        <v>0</v>
      </c>
      <c r="AB83" s="71">
        <f t="shared" ca="1" si="36"/>
        <v>62079.695814680279</v>
      </c>
      <c r="AC83" s="71">
        <f t="shared" ca="1" si="43"/>
        <v>0</v>
      </c>
      <c r="AD83" s="71">
        <f t="shared" ca="1" si="37"/>
        <v>0</v>
      </c>
      <c r="AE83" s="72">
        <f t="shared" si="38"/>
        <v>0</v>
      </c>
      <c r="AF83" s="73">
        <f>IF(A83&gt;入力設定!$B$6*12,0,IF(AND(ISNUMBER(C83),C83&gt;=0,C83&lt;=1),0,1))</f>
        <v>0</v>
      </c>
    </row>
    <row r="84" spans="1:32" ht="21" customHeight="1">
      <c r="A84" s="68">
        <f>79</f>
        <v>79</v>
      </c>
      <c r="B84" s="69">
        <f>EDATE(入力設定!$B$7,A84-1)</f>
        <v>48700</v>
      </c>
      <c r="C84" s="80">
        <f>INDEX(入力設定!$C$15:$C$24,INT((A84-1)/60)+1)</f>
        <v>2.5000000000000001E-2</v>
      </c>
      <c r="D84" s="70">
        <f t="shared" ca="1" si="39"/>
        <v>26671518.550107848</v>
      </c>
      <c r="E84" s="70">
        <f t="shared" ca="1" si="40"/>
        <v>302</v>
      </c>
      <c r="F84" s="70">
        <f ca="1">IF(D84+Z84&lt;0.000001,0,IF(D84&lt;0.000001,F83,IF(OR(AE84=1,AND(K83&gt;0,入力設定!$B$8="返済額軽減型",入力設定!$B$11="翌月")),IF(C84=0,D84/MAX(1,E84),D84*(C84/12)/(1-(1+C84/12)^(-MAX(1,E84)))),F83)))</f>
        <v>119082.40831799689</v>
      </c>
      <c r="G84" s="70">
        <f t="shared" ca="1" si="22"/>
        <v>119082.40831799689</v>
      </c>
      <c r="H84" s="70">
        <f t="shared" ca="1" si="23"/>
        <v>55565.663646058027</v>
      </c>
      <c r="I84" s="70">
        <f t="shared" ca="1" si="24"/>
        <v>63516.744671938861</v>
      </c>
      <c r="J84" s="70">
        <f>SUMIFS(入力設定!$G$5:$G$24,入力設定!$F$5:$F$24,A84)</f>
        <v>0</v>
      </c>
      <c r="K84" s="70">
        <f t="shared" ca="1" si="25"/>
        <v>0</v>
      </c>
      <c r="L84" s="70">
        <f ca="1">IF(K84&gt;0,入力設定!$B$9,0)</f>
        <v>0</v>
      </c>
      <c r="M84" s="70">
        <f t="shared" ca="1" si="26"/>
        <v>26608001.805435911</v>
      </c>
      <c r="N84" s="70">
        <f ca="1">IF(M84+AA84&lt;0.000001,0,IF(AND(K84&gt;0,入力設定!$B$8="期間短縮型",AA84&lt;0.000001,F84&gt;M84*C84/12),MAX(1,MIN(E84-1,IF(C84=0,ROUNDUP(M84/F84,0),ROUNDUP(-LN(1-M84*(C84/12)/F84)/LN(1+C84/12),0)))),MAX(1,E84-1)))</f>
        <v>301</v>
      </c>
      <c r="O84" s="70">
        <f t="shared" ca="1" si="27"/>
        <v>119082.40831799689</v>
      </c>
      <c r="P84" s="70">
        <f t="shared" ca="1" si="41"/>
        <v>29738666.072304953</v>
      </c>
      <c r="Q84" s="70">
        <f ca="1">IF(OR(A84&gt;入力設定!$B$6*12,P84+AC84&lt;0.000001),0,IF(P84&lt;0.000001,Q83,IF(AE84=1,IF(C84=0,P84/MAX(1,入力設定!$B$6*12-A84+1),P84*(C84/12)/(1-(1+C84/12)^(-MAX(1,入力設定!$B$6*12-A84+1)))),Q83)))</f>
        <v>121667.61455625904</v>
      </c>
      <c r="R84" s="70">
        <f ca="1">IF(P84+AC84&lt;0.000001,0,IF(A84=入力設定!$B$6*12,P84+AB84+AC84,MIN(Q84,P84+AB84+AC84)))</f>
        <v>121667.61455625904</v>
      </c>
      <c r="S84" s="70">
        <f t="shared" ca="1" si="28"/>
        <v>61955.554317301991</v>
      </c>
      <c r="T84" s="70">
        <f t="shared" ca="1" si="29"/>
        <v>59712.060238957049</v>
      </c>
      <c r="U84" s="70">
        <f t="shared" ca="1" si="30"/>
        <v>29678954.012065995</v>
      </c>
      <c r="V84" s="70">
        <f t="shared" ca="1" si="31"/>
        <v>0</v>
      </c>
      <c r="W84" s="70">
        <f t="shared" ca="1" si="32"/>
        <v>0</v>
      </c>
      <c r="X84" s="70">
        <f t="shared" ca="1" si="33"/>
        <v>0</v>
      </c>
      <c r="Y84" s="71">
        <f t="shared" ca="1" si="34"/>
        <v>55565.663646058027</v>
      </c>
      <c r="Z84" s="71">
        <f t="shared" ca="1" si="42"/>
        <v>0</v>
      </c>
      <c r="AA84" s="71">
        <f t="shared" ca="1" si="35"/>
        <v>0</v>
      </c>
      <c r="AB84" s="71">
        <f t="shared" ca="1" si="36"/>
        <v>61955.554317301991</v>
      </c>
      <c r="AC84" s="71">
        <f t="shared" ca="1" si="43"/>
        <v>0</v>
      </c>
      <c r="AD84" s="71">
        <f t="shared" ca="1" si="37"/>
        <v>0</v>
      </c>
      <c r="AE84" s="72">
        <f t="shared" si="38"/>
        <v>0</v>
      </c>
      <c r="AF84" s="73">
        <f>IF(A84&gt;入力設定!$B$6*12,0,IF(AND(ISNUMBER(C84),C84&gt;=0,C84&lt;=1),0,1))</f>
        <v>0</v>
      </c>
    </row>
    <row r="85" spans="1:32" ht="21" customHeight="1">
      <c r="A85" s="68">
        <f>80</f>
        <v>80</v>
      </c>
      <c r="B85" s="69">
        <f>EDATE(入力設定!$B$7,A85-1)</f>
        <v>48731</v>
      </c>
      <c r="C85" s="80">
        <f>INDEX(入力設定!$C$15:$C$24,INT((A85-1)/60)+1)</f>
        <v>2.5000000000000001E-2</v>
      </c>
      <c r="D85" s="70">
        <f t="shared" ca="1" si="39"/>
        <v>26608001.805435911</v>
      </c>
      <c r="E85" s="70">
        <f t="shared" ca="1" si="40"/>
        <v>301</v>
      </c>
      <c r="F85" s="70">
        <f ca="1">IF(D85+Z85&lt;0.000001,0,IF(D85&lt;0.000001,F84,IF(OR(AE85=1,AND(K84&gt;0,入力設定!$B$8="返済額軽減型",入力設定!$B$11="翌月")),IF(C85=0,D85/MAX(1,E85),D85*(C85/12)/(1-(1+C85/12)^(-MAX(1,E85)))),F84)))</f>
        <v>119082.40831799689</v>
      </c>
      <c r="G85" s="70">
        <f t="shared" ca="1" si="22"/>
        <v>119082.40831799689</v>
      </c>
      <c r="H85" s="70">
        <f t="shared" ca="1" si="23"/>
        <v>55433.337094658149</v>
      </c>
      <c r="I85" s="70">
        <f t="shared" ca="1" si="24"/>
        <v>63649.071223338738</v>
      </c>
      <c r="J85" s="70">
        <f>SUMIFS(入力設定!$G$5:$G$24,入力設定!$F$5:$F$24,A85)</f>
        <v>0</v>
      </c>
      <c r="K85" s="70">
        <f t="shared" ca="1" si="25"/>
        <v>0</v>
      </c>
      <c r="L85" s="70">
        <f ca="1">IF(K85&gt;0,入力設定!$B$9,0)</f>
        <v>0</v>
      </c>
      <c r="M85" s="70">
        <f t="shared" ca="1" si="26"/>
        <v>26544352.734212574</v>
      </c>
      <c r="N85" s="70">
        <f ca="1">IF(M85+AA85&lt;0.000001,0,IF(AND(K85&gt;0,入力設定!$B$8="期間短縮型",AA85&lt;0.000001,F85&gt;M85*C85/12),MAX(1,MIN(E85-1,IF(C85=0,ROUNDUP(M85/F85,0),ROUNDUP(-LN(1-M85*(C85/12)/F85)/LN(1+C85/12),0)))),MAX(1,E85-1)))</f>
        <v>300</v>
      </c>
      <c r="O85" s="70">
        <f t="shared" ca="1" si="27"/>
        <v>119082.40831799689</v>
      </c>
      <c r="P85" s="70">
        <f t="shared" ca="1" si="41"/>
        <v>29678954.012065995</v>
      </c>
      <c r="Q85" s="70">
        <f ca="1">IF(OR(A85&gt;入力設定!$B$6*12,P85+AC85&lt;0.000001),0,IF(P85&lt;0.000001,Q84,IF(AE85=1,IF(C85=0,P85/MAX(1,入力設定!$B$6*12-A85+1),P85*(C85/12)/(1-(1+C85/12)^(-MAX(1,入力設定!$B$6*12-A85+1)))),Q84)))</f>
        <v>121667.61455625904</v>
      </c>
      <c r="R85" s="70">
        <f ca="1">IF(P85+AC85&lt;0.000001,0,IF(A85=入力設定!$B$6*12,P85+AB85+AC85,MIN(Q85,P85+AB85+AC85)))</f>
        <v>121667.61455625904</v>
      </c>
      <c r="S85" s="70">
        <f t="shared" ca="1" si="28"/>
        <v>61831.154191804155</v>
      </c>
      <c r="T85" s="70">
        <f t="shared" ca="1" si="29"/>
        <v>59836.460364454884</v>
      </c>
      <c r="U85" s="70">
        <f t="shared" ca="1" si="30"/>
        <v>29619117.551701542</v>
      </c>
      <c r="V85" s="70">
        <f t="shared" ca="1" si="31"/>
        <v>0</v>
      </c>
      <c r="W85" s="70">
        <f t="shared" ca="1" si="32"/>
        <v>0</v>
      </c>
      <c r="X85" s="70">
        <f t="shared" ca="1" si="33"/>
        <v>0</v>
      </c>
      <c r="Y85" s="71">
        <f t="shared" ca="1" si="34"/>
        <v>55433.337094658149</v>
      </c>
      <c r="Z85" s="71">
        <f t="shared" ca="1" si="42"/>
        <v>0</v>
      </c>
      <c r="AA85" s="71">
        <f t="shared" ca="1" si="35"/>
        <v>0</v>
      </c>
      <c r="AB85" s="71">
        <f t="shared" ca="1" si="36"/>
        <v>61831.154191804155</v>
      </c>
      <c r="AC85" s="71">
        <f t="shared" ca="1" si="43"/>
        <v>0</v>
      </c>
      <c r="AD85" s="71">
        <f t="shared" ca="1" si="37"/>
        <v>0</v>
      </c>
      <c r="AE85" s="72">
        <f t="shared" si="38"/>
        <v>0</v>
      </c>
      <c r="AF85" s="73">
        <f>IF(A85&gt;入力設定!$B$6*12,0,IF(AND(ISNUMBER(C85),C85&gt;=0,C85&lt;=1),0,1))</f>
        <v>0</v>
      </c>
    </row>
    <row r="86" spans="1:32" ht="21" customHeight="1">
      <c r="A86" s="68">
        <f>81</f>
        <v>81</v>
      </c>
      <c r="B86" s="69">
        <f>EDATE(入力設定!$B$7,A86-1)</f>
        <v>48761</v>
      </c>
      <c r="C86" s="80">
        <f>INDEX(入力設定!$C$15:$C$24,INT((A86-1)/60)+1)</f>
        <v>2.5000000000000001E-2</v>
      </c>
      <c r="D86" s="70">
        <f t="shared" ca="1" si="39"/>
        <v>26544352.734212574</v>
      </c>
      <c r="E86" s="70">
        <f t="shared" ca="1" si="40"/>
        <v>300</v>
      </c>
      <c r="F86" s="70">
        <f ca="1">IF(D86+Z86&lt;0.000001,0,IF(D86&lt;0.000001,F85,IF(OR(AE86=1,AND(K85&gt;0,入力設定!$B$8="返済額軽減型",入力設定!$B$11="翌月")),IF(C86=0,D86/MAX(1,E86),D86*(C86/12)/(1-(1+C86/12)^(-MAX(1,E86)))),F85)))</f>
        <v>119082.40831799689</v>
      </c>
      <c r="G86" s="70">
        <f t="shared" ca="1" si="22"/>
        <v>119082.40831799689</v>
      </c>
      <c r="H86" s="70">
        <f t="shared" ca="1" si="23"/>
        <v>55300.734862942867</v>
      </c>
      <c r="I86" s="70">
        <f t="shared" ca="1" si="24"/>
        <v>63781.67345505402</v>
      </c>
      <c r="J86" s="70">
        <f>SUMIFS(入力設定!$G$5:$G$24,入力設定!$F$5:$F$24,A86)</f>
        <v>0</v>
      </c>
      <c r="K86" s="70">
        <f t="shared" ca="1" si="25"/>
        <v>0</v>
      </c>
      <c r="L86" s="70">
        <f ca="1">IF(K86&gt;0,入力設定!$B$9,0)</f>
        <v>0</v>
      </c>
      <c r="M86" s="70">
        <f t="shared" ca="1" si="26"/>
        <v>26480571.060757518</v>
      </c>
      <c r="N86" s="70">
        <f ca="1">IF(M86+AA86&lt;0.000001,0,IF(AND(K86&gt;0,入力設定!$B$8="期間短縮型",AA86&lt;0.000001,F86&gt;M86*C86/12),MAX(1,MIN(E86-1,IF(C86=0,ROUNDUP(M86/F86,0),ROUNDUP(-LN(1-M86*(C86/12)/F86)/LN(1+C86/12),0)))),MAX(1,E86-1)))</f>
        <v>299</v>
      </c>
      <c r="O86" s="70">
        <f t="shared" ca="1" si="27"/>
        <v>119082.40831799689</v>
      </c>
      <c r="P86" s="70">
        <f t="shared" ca="1" si="41"/>
        <v>29619117.551701542</v>
      </c>
      <c r="Q86" s="70">
        <f ca="1">IF(OR(A86&gt;入力設定!$B$6*12,P86+AC86&lt;0.000001),0,IF(P86&lt;0.000001,Q85,IF(AE86=1,IF(C86=0,P86/MAX(1,入力設定!$B$6*12-A86+1),P86*(C86/12)/(1-(1+C86/12)^(-MAX(1,入力設定!$B$6*12-A86+1)))),Q85)))</f>
        <v>121667.61455625904</v>
      </c>
      <c r="R86" s="70">
        <f ca="1">IF(P86+AC86&lt;0.000001,0,IF(A86=入力設定!$B$6*12,P86+AB86+AC86,MIN(Q86,P86+AB86+AC86)))</f>
        <v>121667.61455625904</v>
      </c>
      <c r="S86" s="70">
        <f t="shared" ca="1" si="28"/>
        <v>61706.494899378216</v>
      </c>
      <c r="T86" s="70">
        <f t="shared" ca="1" si="29"/>
        <v>59961.119656880823</v>
      </c>
      <c r="U86" s="70">
        <f t="shared" ca="1" si="30"/>
        <v>29559156.432044663</v>
      </c>
      <c r="V86" s="70">
        <f t="shared" ca="1" si="31"/>
        <v>0</v>
      </c>
      <c r="W86" s="70">
        <f t="shared" ca="1" si="32"/>
        <v>0</v>
      </c>
      <c r="X86" s="70">
        <f t="shared" ca="1" si="33"/>
        <v>0</v>
      </c>
      <c r="Y86" s="71">
        <f t="shared" ca="1" si="34"/>
        <v>55300.734862942867</v>
      </c>
      <c r="Z86" s="71">
        <f t="shared" ca="1" si="42"/>
        <v>0</v>
      </c>
      <c r="AA86" s="71">
        <f t="shared" ca="1" si="35"/>
        <v>0</v>
      </c>
      <c r="AB86" s="71">
        <f t="shared" ca="1" si="36"/>
        <v>61706.494899378216</v>
      </c>
      <c r="AC86" s="71">
        <f t="shared" ca="1" si="43"/>
        <v>0</v>
      </c>
      <c r="AD86" s="71">
        <f t="shared" ca="1" si="37"/>
        <v>0</v>
      </c>
      <c r="AE86" s="72">
        <f t="shared" si="38"/>
        <v>0</v>
      </c>
      <c r="AF86" s="73">
        <f>IF(A86&gt;入力設定!$B$6*12,0,IF(AND(ISNUMBER(C86),C86&gt;=0,C86&lt;=1),0,1))</f>
        <v>0</v>
      </c>
    </row>
    <row r="87" spans="1:32" ht="21" customHeight="1">
      <c r="A87" s="68">
        <f>82</f>
        <v>82</v>
      </c>
      <c r="B87" s="69">
        <f>EDATE(入力設定!$B$7,A87-1)</f>
        <v>48792</v>
      </c>
      <c r="C87" s="80">
        <f>INDEX(入力設定!$C$15:$C$24,INT((A87-1)/60)+1)</f>
        <v>2.5000000000000001E-2</v>
      </c>
      <c r="D87" s="70">
        <f t="shared" ca="1" si="39"/>
        <v>26480571.060757518</v>
      </c>
      <c r="E87" s="70">
        <f t="shared" ca="1" si="40"/>
        <v>299</v>
      </c>
      <c r="F87" s="70">
        <f ca="1">IF(D87+Z87&lt;0.000001,0,IF(D87&lt;0.000001,F86,IF(OR(AE87=1,AND(K86&gt;0,入力設定!$B$8="返済額軽減型",入力設定!$B$11="翌月")),IF(C87=0,D87/MAX(1,E87),D87*(C87/12)/(1-(1+C87/12)^(-MAX(1,E87)))),F86)))</f>
        <v>119082.40831799689</v>
      </c>
      <c r="G87" s="70">
        <f t="shared" ca="1" si="22"/>
        <v>119082.40831799689</v>
      </c>
      <c r="H87" s="70">
        <f t="shared" ca="1" si="23"/>
        <v>55167.856376578166</v>
      </c>
      <c r="I87" s="70">
        <f t="shared" ca="1" si="24"/>
        <v>63914.551941418722</v>
      </c>
      <c r="J87" s="70">
        <f>SUMIFS(入力設定!$G$5:$G$24,入力設定!$F$5:$F$24,A87)</f>
        <v>0</v>
      </c>
      <c r="K87" s="70">
        <f t="shared" ca="1" si="25"/>
        <v>0</v>
      </c>
      <c r="L87" s="70">
        <f ca="1">IF(K87&gt;0,入力設定!$B$9,0)</f>
        <v>0</v>
      </c>
      <c r="M87" s="70">
        <f t="shared" ca="1" si="26"/>
        <v>26416656.508816101</v>
      </c>
      <c r="N87" s="70">
        <f ca="1">IF(M87+AA87&lt;0.000001,0,IF(AND(K87&gt;0,入力設定!$B$8="期間短縮型",AA87&lt;0.000001,F87&gt;M87*C87/12),MAX(1,MIN(E87-1,IF(C87=0,ROUNDUP(M87/F87,0),ROUNDUP(-LN(1-M87*(C87/12)/F87)/LN(1+C87/12),0)))),MAX(1,E87-1)))</f>
        <v>298</v>
      </c>
      <c r="O87" s="70">
        <f t="shared" ca="1" si="27"/>
        <v>119082.40831799689</v>
      </c>
      <c r="P87" s="70">
        <f t="shared" ca="1" si="41"/>
        <v>29559156.432044663</v>
      </c>
      <c r="Q87" s="70">
        <f ca="1">IF(OR(A87&gt;入力設定!$B$6*12,P87+AC87&lt;0.000001),0,IF(P87&lt;0.000001,Q86,IF(AE87=1,IF(C87=0,P87/MAX(1,入力設定!$B$6*12-A87+1),P87*(C87/12)/(1-(1+C87/12)^(-MAX(1,入力設定!$B$6*12-A87+1)))),Q86)))</f>
        <v>121667.61455625904</v>
      </c>
      <c r="R87" s="70">
        <f ca="1">IF(P87+AC87&lt;0.000001,0,IF(A87=入力設定!$B$6*12,P87+AB87+AC87,MIN(Q87,P87+AB87+AC87)))</f>
        <v>121667.61455625904</v>
      </c>
      <c r="S87" s="70">
        <f t="shared" ca="1" si="28"/>
        <v>61581.575900093048</v>
      </c>
      <c r="T87" s="70">
        <f t="shared" ca="1" si="29"/>
        <v>60086.038656165991</v>
      </c>
      <c r="U87" s="70">
        <f t="shared" ca="1" si="30"/>
        <v>29499070.393388495</v>
      </c>
      <c r="V87" s="70">
        <f t="shared" ca="1" si="31"/>
        <v>0</v>
      </c>
      <c r="W87" s="70">
        <f t="shared" ca="1" si="32"/>
        <v>0</v>
      </c>
      <c r="X87" s="70">
        <f t="shared" ca="1" si="33"/>
        <v>0</v>
      </c>
      <c r="Y87" s="71">
        <f t="shared" ca="1" si="34"/>
        <v>55167.856376578166</v>
      </c>
      <c r="Z87" s="71">
        <f t="shared" ca="1" si="42"/>
        <v>0</v>
      </c>
      <c r="AA87" s="71">
        <f t="shared" ca="1" si="35"/>
        <v>0</v>
      </c>
      <c r="AB87" s="71">
        <f t="shared" ca="1" si="36"/>
        <v>61581.575900093048</v>
      </c>
      <c r="AC87" s="71">
        <f t="shared" ca="1" si="43"/>
        <v>0</v>
      </c>
      <c r="AD87" s="71">
        <f t="shared" ca="1" si="37"/>
        <v>0</v>
      </c>
      <c r="AE87" s="72">
        <f t="shared" si="38"/>
        <v>0</v>
      </c>
      <c r="AF87" s="73">
        <f>IF(A87&gt;入力設定!$B$6*12,0,IF(AND(ISNUMBER(C87),C87&gt;=0,C87&lt;=1),0,1))</f>
        <v>0</v>
      </c>
    </row>
    <row r="88" spans="1:32" ht="21" customHeight="1">
      <c r="A88" s="68">
        <f>83</f>
        <v>83</v>
      </c>
      <c r="B88" s="69">
        <f>EDATE(入力設定!$B$7,A88-1)</f>
        <v>48823</v>
      </c>
      <c r="C88" s="80">
        <f>INDEX(入力設定!$C$15:$C$24,INT((A88-1)/60)+1)</f>
        <v>2.5000000000000001E-2</v>
      </c>
      <c r="D88" s="70">
        <f t="shared" ca="1" si="39"/>
        <v>26416656.508816101</v>
      </c>
      <c r="E88" s="70">
        <f t="shared" ca="1" si="40"/>
        <v>298</v>
      </c>
      <c r="F88" s="70">
        <f ca="1">IF(D88+Z88&lt;0.000001,0,IF(D88&lt;0.000001,F87,IF(OR(AE88=1,AND(K87&gt;0,入力設定!$B$8="返済額軽減型",入力設定!$B$11="翌月")),IF(C88=0,D88/MAX(1,E88),D88*(C88/12)/(1-(1+C88/12)^(-MAX(1,E88)))),F87)))</f>
        <v>119082.40831799689</v>
      </c>
      <c r="G88" s="70">
        <f t="shared" ca="1" si="22"/>
        <v>119082.40831799689</v>
      </c>
      <c r="H88" s="70">
        <f t="shared" ca="1" si="23"/>
        <v>55034.701060033549</v>
      </c>
      <c r="I88" s="70">
        <f t="shared" ca="1" si="24"/>
        <v>64047.707257963339</v>
      </c>
      <c r="J88" s="70">
        <f>SUMIFS(入力設定!$G$5:$G$24,入力設定!$F$5:$F$24,A88)</f>
        <v>0</v>
      </c>
      <c r="K88" s="70">
        <f t="shared" ca="1" si="25"/>
        <v>0</v>
      </c>
      <c r="L88" s="70">
        <f ca="1">IF(K88&gt;0,入力設定!$B$9,0)</f>
        <v>0</v>
      </c>
      <c r="M88" s="70">
        <f t="shared" ca="1" si="26"/>
        <v>26352608.801558137</v>
      </c>
      <c r="N88" s="70">
        <f ca="1">IF(M88+AA88&lt;0.000001,0,IF(AND(K88&gt;0,入力設定!$B$8="期間短縮型",AA88&lt;0.000001,F88&gt;M88*C88/12),MAX(1,MIN(E88-1,IF(C88=0,ROUNDUP(M88/F88,0),ROUNDUP(-LN(1-M88*(C88/12)/F88)/LN(1+C88/12),0)))),MAX(1,E88-1)))</f>
        <v>297</v>
      </c>
      <c r="O88" s="70">
        <f t="shared" ca="1" si="27"/>
        <v>119082.40831799689</v>
      </c>
      <c r="P88" s="70">
        <f t="shared" ca="1" si="41"/>
        <v>29499070.393388495</v>
      </c>
      <c r="Q88" s="70">
        <f ca="1">IF(OR(A88&gt;入力設定!$B$6*12,P88+AC88&lt;0.000001),0,IF(P88&lt;0.000001,Q87,IF(AE88=1,IF(C88=0,P88/MAX(1,入力設定!$B$6*12-A88+1),P88*(C88/12)/(1-(1+C88/12)^(-MAX(1,入力設定!$B$6*12-A88+1)))),Q87)))</f>
        <v>121667.61455625904</v>
      </c>
      <c r="R88" s="70">
        <f ca="1">IF(P88+AC88&lt;0.000001,0,IF(A88=入力設定!$B$6*12,P88+AB88+AC88,MIN(Q88,P88+AB88+AC88)))</f>
        <v>121667.61455625904</v>
      </c>
      <c r="S88" s="70">
        <f t="shared" ca="1" si="28"/>
        <v>61456.396652892698</v>
      </c>
      <c r="T88" s="70">
        <f t="shared" ca="1" si="29"/>
        <v>60211.217903366341</v>
      </c>
      <c r="U88" s="70">
        <f t="shared" ca="1" si="30"/>
        <v>29438859.175485127</v>
      </c>
      <c r="V88" s="70">
        <f t="shared" ca="1" si="31"/>
        <v>0</v>
      </c>
      <c r="W88" s="70">
        <f t="shared" ca="1" si="32"/>
        <v>0</v>
      </c>
      <c r="X88" s="70">
        <f t="shared" ca="1" si="33"/>
        <v>0</v>
      </c>
      <c r="Y88" s="71">
        <f t="shared" ca="1" si="34"/>
        <v>55034.701060033549</v>
      </c>
      <c r="Z88" s="71">
        <f t="shared" ca="1" si="42"/>
        <v>0</v>
      </c>
      <c r="AA88" s="71">
        <f t="shared" ca="1" si="35"/>
        <v>0</v>
      </c>
      <c r="AB88" s="71">
        <f t="shared" ca="1" si="36"/>
        <v>61456.396652892698</v>
      </c>
      <c r="AC88" s="71">
        <f t="shared" ca="1" si="43"/>
        <v>0</v>
      </c>
      <c r="AD88" s="71">
        <f t="shared" ca="1" si="37"/>
        <v>0</v>
      </c>
      <c r="AE88" s="72">
        <f t="shared" si="38"/>
        <v>0</v>
      </c>
      <c r="AF88" s="73">
        <f>IF(A88&gt;入力設定!$B$6*12,0,IF(AND(ISNUMBER(C88),C88&gt;=0,C88&lt;=1),0,1))</f>
        <v>0</v>
      </c>
    </row>
    <row r="89" spans="1:32" ht="21" customHeight="1">
      <c r="A89" s="68">
        <f>84</f>
        <v>84</v>
      </c>
      <c r="B89" s="69">
        <f>EDATE(入力設定!$B$7,A89-1)</f>
        <v>48853</v>
      </c>
      <c r="C89" s="80">
        <f>INDEX(入力設定!$C$15:$C$24,INT((A89-1)/60)+1)</f>
        <v>2.5000000000000001E-2</v>
      </c>
      <c r="D89" s="70">
        <f t="shared" ca="1" si="39"/>
        <v>26352608.801558137</v>
      </c>
      <c r="E89" s="70">
        <f t="shared" ca="1" si="40"/>
        <v>297</v>
      </c>
      <c r="F89" s="70">
        <f ca="1">IF(D89+Z89&lt;0.000001,0,IF(D89&lt;0.000001,F88,IF(OR(AE89=1,AND(K88&gt;0,入力設定!$B$8="返済額軽減型",入力設定!$B$11="翌月")),IF(C89=0,D89/MAX(1,E89),D89*(C89/12)/(1-(1+C89/12)^(-MAX(1,E89)))),F88)))</f>
        <v>119082.40831799689</v>
      </c>
      <c r="G89" s="70">
        <f t="shared" ca="1" si="22"/>
        <v>119082.40831799689</v>
      </c>
      <c r="H89" s="70">
        <f t="shared" ca="1" si="23"/>
        <v>54901.268336579458</v>
      </c>
      <c r="I89" s="70">
        <f t="shared" ca="1" si="24"/>
        <v>64181.139981417429</v>
      </c>
      <c r="J89" s="70">
        <f>SUMIFS(入力設定!$G$5:$G$24,入力設定!$F$5:$F$24,A89)</f>
        <v>0</v>
      </c>
      <c r="K89" s="70">
        <f t="shared" ca="1" si="25"/>
        <v>0</v>
      </c>
      <c r="L89" s="70">
        <f ca="1">IF(K89&gt;0,入力設定!$B$9,0)</f>
        <v>0</v>
      </c>
      <c r="M89" s="70">
        <f t="shared" ca="1" si="26"/>
        <v>26288427.661576718</v>
      </c>
      <c r="N89" s="70">
        <f ca="1">IF(M89+AA89&lt;0.000001,0,IF(AND(K89&gt;0,入力設定!$B$8="期間短縮型",AA89&lt;0.000001,F89&gt;M89*C89/12),MAX(1,MIN(E89-1,IF(C89=0,ROUNDUP(M89/F89,0),ROUNDUP(-LN(1-M89*(C89/12)/F89)/LN(1+C89/12),0)))),MAX(1,E89-1)))</f>
        <v>296</v>
      </c>
      <c r="O89" s="70">
        <f t="shared" ca="1" si="27"/>
        <v>119082.40831799689</v>
      </c>
      <c r="P89" s="70">
        <f t="shared" ca="1" si="41"/>
        <v>29438859.175485127</v>
      </c>
      <c r="Q89" s="70">
        <f ca="1">IF(OR(A89&gt;入力設定!$B$6*12,P89+AC89&lt;0.000001),0,IF(P89&lt;0.000001,Q88,IF(AE89=1,IF(C89=0,P89/MAX(1,入力設定!$B$6*12-A89+1),P89*(C89/12)/(1-(1+C89/12)^(-MAX(1,入力設定!$B$6*12-A89+1)))),Q88)))</f>
        <v>121667.61455625904</v>
      </c>
      <c r="R89" s="70">
        <f ca="1">IF(P89+AC89&lt;0.000001,0,IF(A89=入力設定!$B$6*12,P89+AB89+AC89,MIN(Q89,P89+AB89+AC89)))</f>
        <v>121667.61455625904</v>
      </c>
      <c r="S89" s="70">
        <f t="shared" ca="1" si="28"/>
        <v>61330.956615594019</v>
      </c>
      <c r="T89" s="70">
        <f t="shared" ca="1" si="29"/>
        <v>60336.65794066502</v>
      </c>
      <c r="U89" s="70">
        <f t="shared" ca="1" si="30"/>
        <v>29378522.517544463</v>
      </c>
      <c r="V89" s="70">
        <f t="shared" ca="1" si="31"/>
        <v>0</v>
      </c>
      <c r="W89" s="70">
        <f t="shared" ca="1" si="32"/>
        <v>0</v>
      </c>
      <c r="X89" s="70">
        <f t="shared" ca="1" si="33"/>
        <v>0</v>
      </c>
      <c r="Y89" s="71">
        <f t="shared" ca="1" si="34"/>
        <v>54901.268336579458</v>
      </c>
      <c r="Z89" s="71">
        <f t="shared" ca="1" si="42"/>
        <v>0</v>
      </c>
      <c r="AA89" s="71">
        <f t="shared" ca="1" si="35"/>
        <v>0</v>
      </c>
      <c r="AB89" s="71">
        <f t="shared" ca="1" si="36"/>
        <v>61330.956615594019</v>
      </c>
      <c r="AC89" s="71">
        <f t="shared" ca="1" si="43"/>
        <v>0</v>
      </c>
      <c r="AD89" s="71">
        <f t="shared" ca="1" si="37"/>
        <v>0</v>
      </c>
      <c r="AE89" s="72">
        <f t="shared" si="38"/>
        <v>0</v>
      </c>
      <c r="AF89" s="73">
        <f>IF(A89&gt;入力設定!$B$6*12,0,IF(AND(ISNUMBER(C89),C89&gt;=0,C89&lt;=1),0,1))</f>
        <v>0</v>
      </c>
    </row>
    <row r="90" spans="1:32" ht="21" customHeight="1">
      <c r="A90" s="68">
        <f>85</f>
        <v>85</v>
      </c>
      <c r="B90" s="69">
        <f>EDATE(入力設定!$B$7,A90-1)</f>
        <v>48884</v>
      </c>
      <c r="C90" s="80">
        <f>INDEX(入力設定!$C$15:$C$24,INT((A90-1)/60)+1)</f>
        <v>2.5000000000000001E-2</v>
      </c>
      <c r="D90" s="70">
        <f t="shared" ca="1" si="39"/>
        <v>26288427.661576718</v>
      </c>
      <c r="E90" s="70">
        <f t="shared" ca="1" si="40"/>
        <v>296</v>
      </c>
      <c r="F90" s="70">
        <f ca="1">IF(D90+Z90&lt;0.000001,0,IF(D90&lt;0.000001,F89,IF(OR(AE90=1,AND(K89&gt;0,入力設定!$B$8="返済額軽減型",入力設定!$B$11="翌月")),IF(C90=0,D90/MAX(1,E90),D90*(C90/12)/(1-(1+C90/12)^(-MAX(1,E90)))),F89)))</f>
        <v>119082.40831799689</v>
      </c>
      <c r="G90" s="70">
        <f t="shared" ca="1" si="22"/>
        <v>119082.40831799689</v>
      </c>
      <c r="H90" s="70">
        <f t="shared" ca="1" si="23"/>
        <v>54767.557628284827</v>
      </c>
      <c r="I90" s="70">
        <f t="shared" ca="1" si="24"/>
        <v>64314.850689712061</v>
      </c>
      <c r="J90" s="70">
        <f>SUMIFS(入力設定!$G$5:$G$24,入力設定!$F$5:$F$24,A90)</f>
        <v>0</v>
      </c>
      <c r="K90" s="70">
        <f t="shared" ca="1" si="25"/>
        <v>0</v>
      </c>
      <c r="L90" s="70">
        <f ca="1">IF(K90&gt;0,入力設定!$B$9,0)</f>
        <v>0</v>
      </c>
      <c r="M90" s="70">
        <f t="shared" ca="1" si="26"/>
        <v>26224112.810887005</v>
      </c>
      <c r="N90" s="70">
        <f ca="1">IF(M90+AA90&lt;0.000001,0,IF(AND(K90&gt;0,入力設定!$B$8="期間短縮型",AA90&lt;0.000001,F90&gt;M90*C90/12),MAX(1,MIN(E90-1,IF(C90=0,ROUNDUP(M90/F90,0),ROUNDUP(-LN(1-M90*(C90/12)/F90)/LN(1+C90/12),0)))),MAX(1,E90-1)))</f>
        <v>295</v>
      </c>
      <c r="O90" s="70">
        <f t="shared" ca="1" si="27"/>
        <v>119082.40831799689</v>
      </c>
      <c r="P90" s="70">
        <f t="shared" ca="1" si="41"/>
        <v>29378522.517544463</v>
      </c>
      <c r="Q90" s="70">
        <f ca="1">IF(OR(A90&gt;入力設定!$B$6*12,P90+AC90&lt;0.000001),0,IF(P90&lt;0.000001,Q89,IF(AE90=1,IF(C90=0,P90/MAX(1,入力設定!$B$6*12-A90+1),P90*(C90/12)/(1-(1+C90/12)^(-MAX(1,入力設定!$B$6*12-A90+1)))),Q89)))</f>
        <v>121667.61455625904</v>
      </c>
      <c r="R90" s="70">
        <f ca="1">IF(P90+AC90&lt;0.000001,0,IF(A90=入力設定!$B$6*12,P90+AB90+AC90,MIN(Q90,P90+AB90+AC90)))</f>
        <v>121667.61455625904</v>
      </c>
      <c r="S90" s="70">
        <f t="shared" ca="1" si="28"/>
        <v>61205.255244884298</v>
      </c>
      <c r="T90" s="70">
        <f t="shared" ca="1" si="29"/>
        <v>60462.359311374741</v>
      </c>
      <c r="U90" s="70">
        <f t="shared" ca="1" si="30"/>
        <v>29318060.158233088</v>
      </c>
      <c r="V90" s="70">
        <f t="shared" ca="1" si="31"/>
        <v>0</v>
      </c>
      <c r="W90" s="70">
        <f t="shared" ca="1" si="32"/>
        <v>0</v>
      </c>
      <c r="X90" s="70">
        <f t="shared" ca="1" si="33"/>
        <v>0</v>
      </c>
      <c r="Y90" s="71">
        <f t="shared" ca="1" si="34"/>
        <v>54767.557628284827</v>
      </c>
      <c r="Z90" s="71">
        <f t="shared" ca="1" si="42"/>
        <v>0</v>
      </c>
      <c r="AA90" s="71">
        <f t="shared" ca="1" si="35"/>
        <v>0</v>
      </c>
      <c r="AB90" s="71">
        <f t="shared" ca="1" si="36"/>
        <v>61205.255244884298</v>
      </c>
      <c r="AC90" s="71">
        <f t="shared" ca="1" si="43"/>
        <v>0</v>
      </c>
      <c r="AD90" s="71">
        <f t="shared" ca="1" si="37"/>
        <v>0</v>
      </c>
      <c r="AE90" s="72">
        <f t="shared" si="38"/>
        <v>0</v>
      </c>
      <c r="AF90" s="73">
        <f>IF(A90&gt;入力設定!$B$6*12,0,IF(AND(ISNUMBER(C90),C90&gt;=0,C90&lt;=1),0,1))</f>
        <v>0</v>
      </c>
    </row>
    <row r="91" spans="1:32" ht="21" customHeight="1">
      <c r="A91" s="68">
        <f>86</f>
        <v>86</v>
      </c>
      <c r="B91" s="69">
        <f>EDATE(入力設定!$B$7,A91-1)</f>
        <v>48914</v>
      </c>
      <c r="C91" s="80">
        <f>INDEX(入力設定!$C$15:$C$24,INT((A91-1)/60)+1)</f>
        <v>2.5000000000000001E-2</v>
      </c>
      <c r="D91" s="70">
        <f t="shared" ca="1" si="39"/>
        <v>26224112.810887005</v>
      </c>
      <c r="E91" s="70">
        <f t="shared" ca="1" si="40"/>
        <v>295</v>
      </c>
      <c r="F91" s="70">
        <f ca="1">IF(D91+Z91&lt;0.000001,0,IF(D91&lt;0.000001,F90,IF(OR(AE91=1,AND(K90&gt;0,入力設定!$B$8="返済額軽減型",入力設定!$B$11="翌月")),IF(C91=0,D91/MAX(1,E91),D91*(C91/12)/(1-(1+C91/12)^(-MAX(1,E91)))),F90)))</f>
        <v>119082.40831799689</v>
      </c>
      <c r="G91" s="70">
        <f t="shared" ca="1" si="22"/>
        <v>119082.40831799689</v>
      </c>
      <c r="H91" s="70">
        <f t="shared" ca="1" si="23"/>
        <v>54633.568356014592</v>
      </c>
      <c r="I91" s="70">
        <f t="shared" ca="1" si="24"/>
        <v>64448.839961982296</v>
      </c>
      <c r="J91" s="70">
        <f>SUMIFS(入力設定!$G$5:$G$24,入力設定!$F$5:$F$24,A91)</f>
        <v>0</v>
      </c>
      <c r="K91" s="70">
        <f t="shared" ca="1" si="25"/>
        <v>0</v>
      </c>
      <c r="L91" s="70">
        <f ca="1">IF(K91&gt;0,入力設定!$B$9,0)</f>
        <v>0</v>
      </c>
      <c r="M91" s="70">
        <f t="shared" ca="1" si="26"/>
        <v>26159663.970925022</v>
      </c>
      <c r="N91" s="70">
        <f ca="1">IF(M91+AA91&lt;0.000001,0,IF(AND(K91&gt;0,入力設定!$B$8="期間短縮型",AA91&lt;0.000001,F91&gt;M91*C91/12),MAX(1,MIN(E91-1,IF(C91=0,ROUNDUP(M91/F91,0),ROUNDUP(-LN(1-M91*(C91/12)/F91)/LN(1+C91/12),0)))),MAX(1,E91-1)))</f>
        <v>294</v>
      </c>
      <c r="O91" s="70">
        <f t="shared" ca="1" si="27"/>
        <v>119082.40831799689</v>
      </c>
      <c r="P91" s="70">
        <f t="shared" ca="1" si="41"/>
        <v>29318060.158233088</v>
      </c>
      <c r="Q91" s="70">
        <f ca="1">IF(OR(A91&gt;入力設定!$B$6*12,P91+AC91&lt;0.000001),0,IF(P91&lt;0.000001,Q90,IF(AE91=1,IF(C91=0,P91/MAX(1,入力設定!$B$6*12-A91+1),P91*(C91/12)/(1-(1+C91/12)^(-MAX(1,入力設定!$B$6*12-A91+1)))),Q90)))</f>
        <v>121667.61455625904</v>
      </c>
      <c r="R91" s="70">
        <f ca="1">IF(P91+AC91&lt;0.000001,0,IF(A91=入力設定!$B$6*12,P91+AB91+AC91,MIN(Q91,P91+AB91+AC91)))</f>
        <v>121667.61455625904</v>
      </c>
      <c r="S91" s="70">
        <f t="shared" ca="1" si="28"/>
        <v>61079.291996318934</v>
      </c>
      <c r="T91" s="70">
        <f t="shared" ca="1" si="29"/>
        <v>60588.322559940105</v>
      </c>
      <c r="U91" s="70">
        <f t="shared" ca="1" si="30"/>
        <v>29257471.835673146</v>
      </c>
      <c r="V91" s="70">
        <f t="shared" ca="1" si="31"/>
        <v>0</v>
      </c>
      <c r="W91" s="70">
        <f t="shared" ca="1" si="32"/>
        <v>0</v>
      </c>
      <c r="X91" s="70">
        <f t="shared" ca="1" si="33"/>
        <v>0</v>
      </c>
      <c r="Y91" s="71">
        <f t="shared" ca="1" si="34"/>
        <v>54633.568356014592</v>
      </c>
      <c r="Z91" s="71">
        <f t="shared" ca="1" si="42"/>
        <v>0</v>
      </c>
      <c r="AA91" s="71">
        <f t="shared" ca="1" si="35"/>
        <v>0</v>
      </c>
      <c r="AB91" s="71">
        <f t="shared" ca="1" si="36"/>
        <v>61079.291996318934</v>
      </c>
      <c r="AC91" s="71">
        <f t="shared" ca="1" si="43"/>
        <v>0</v>
      </c>
      <c r="AD91" s="71">
        <f t="shared" ca="1" si="37"/>
        <v>0</v>
      </c>
      <c r="AE91" s="72">
        <f t="shared" si="38"/>
        <v>0</v>
      </c>
      <c r="AF91" s="73">
        <f>IF(A91&gt;入力設定!$B$6*12,0,IF(AND(ISNUMBER(C91),C91&gt;=0,C91&lt;=1),0,1))</f>
        <v>0</v>
      </c>
    </row>
    <row r="92" spans="1:32" ht="21" customHeight="1">
      <c r="A92" s="68">
        <f>87</f>
        <v>87</v>
      </c>
      <c r="B92" s="69">
        <f>EDATE(入力設定!$B$7,A92-1)</f>
        <v>48945</v>
      </c>
      <c r="C92" s="80">
        <f>INDEX(入力設定!$C$15:$C$24,INT((A92-1)/60)+1)</f>
        <v>2.5000000000000001E-2</v>
      </c>
      <c r="D92" s="70">
        <f t="shared" ca="1" si="39"/>
        <v>26159663.970925022</v>
      </c>
      <c r="E92" s="70">
        <f t="shared" ca="1" si="40"/>
        <v>294</v>
      </c>
      <c r="F92" s="70">
        <f ca="1">IF(D92+Z92&lt;0.000001,0,IF(D92&lt;0.000001,F91,IF(OR(AE92=1,AND(K91&gt;0,入力設定!$B$8="返済額軽減型",入力設定!$B$11="翌月")),IF(C92=0,D92/MAX(1,E92),D92*(C92/12)/(1-(1+C92/12)^(-MAX(1,E92)))),F91)))</f>
        <v>119082.40831799689</v>
      </c>
      <c r="G92" s="70">
        <f t="shared" ca="1" si="22"/>
        <v>119082.40831799689</v>
      </c>
      <c r="H92" s="70">
        <f t="shared" ca="1" si="23"/>
        <v>54499.299939427139</v>
      </c>
      <c r="I92" s="70">
        <f t="shared" ca="1" si="24"/>
        <v>64583.108378569748</v>
      </c>
      <c r="J92" s="70">
        <f>SUMIFS(入力設定!$G$5:$G$24,入力設定!$F$5:$F$24,A92)</f>
        <v>0</v>
      </c>
      <c r="K92" s="70">
        <f t="shared" ca="1" si="25"/>
        <v>0</v>
      </c>
      <c r="L92" s="70">
        <f ca="1">IF(K92&gt;0,入力設定!$B$9,0)</f>
        <v>0</v>
      </c>
      <c r="M92" s="70">
        <f t="shared" ca="1" si="26"/>
        <v>26095080.862546451</v>
      </c>
      <c r="N92" s="70">
        <f ca="1">IF(M92+AA92&lt;0.000001,0,IF(AND(K92&gt;0,入力設定!$B$8="期間短縮型",AA92&lt;0.000001,F92&gt;M92*C92/12),MAX(1,MIN(E92-1,IF(C92=0,ROUNDUP(M92/F92,0),ROUNDUP(-LN(1-M92*(C92/12)/F92)/LN(1+C92/12),0)))),MAX(1,E92-1)))</f>
        <v>293</v>
      </c>
      <c r="O92" s="70">
        <f t="shared" ca="1" si="27"/>
        <v>119082.40831799689</v>
      </c>
      <c r="P92" s="70">
        <f t="shared" ca="1" si="41"/>
        <v>29257471.835673146</v>
      </c>
      <c r="Q92" s="70">
        <f ca="1">IF(OR(A92&gt;入力設定!$B$6*12,P92+AC92&lt;0.000001),0,IF(P92&lt;0.000001,Q91,IF(AE92=1,IF(C92=0,P92/MAX(1,入力設定!$B$6*12-A92+1),P92*(C92/12)/(1-(1+C92/12)^(-MAX(1,入力設定!$B$6*12-A92+1)))),Q91)))</f>
        <v>121667.61455625904</v>
      </c>
      <c r="R92" s="70">
        <f ca="1">IF(P92+AC92&lt;0.000001,0,IF(A92=入力設定!$B$6*12,P92+AB92+AC92,MIN(Q92,P92+AB92+AC92)))</f>
        <v>121667.61455625904</v>
      </c>
      <c r="S92" s="70">
        <f t="shared" ca="1" si="28"/>
        <v>60953.066324319057</v>
      </c>
      <c r="T92" s="70">
        <f t="shared" ca="1" si="29"/>
        <v>60714.548231939982</v>
      </c>
      <c r="U92" s="70">
        <f t="shared" ca="1" si="30"/>
        <v>29196757.287441205</v>
      </c>
      <c r="V92" s="70">
        <f t="shared" ca="1" si="31"/>
        <v>0</v>
      </c>
      <c r="W92" s="70">
        <f t="shared" ca="1" si="32"/>
        <v>0</v>
      </c>
      <c r="X92" s="70">
        <f t="shared" ca="1" si="33"/>
        <v>0</v>
      </c>
      <c r="Y92" s="71">
        <f t="shared" ca="1" si="34"/>
        <v>54499.299939427139</v>
      </c>
      <c r="Z92" s="71">
        <f t="shared" ca="1" si="42"/>
        <v>0</v>
      </c>
      <c r="AA92" s="71">
        <f t="shared" ca="1" si="35"/>
        <v>0</v>
      </c>
      <c r="AB92" s="71">
        <f t="shared" ca="1" si="36"/>
        <v>60953.066324319057</v>
      </c>
      <c r="AC92" s="71">
        <f t="shared" ca="1" si="43"/>
        <v>0</v>
      </c>
      <c r="AD92" s="71">
        <f t="shared" ca="1" si="37"/>
        <v>0</v>
      </c>
      <c r="AE92" s="72">
        <f t="shared" si="38"/>
        <v>0</v>
      </c>
      <c r="AF92" s="73">
        <f>IF(A92&gt;入力設定!$B$6*12,0,IF(AND(ISNUMBER(C92),C92&gt;=0,C92&lt;=1),0,1))</f>
        <v>0</v>
      </c>
    </row>
    <row r="93" spans="1:32" ht="21" customHeight="1">
      <c r="A93" s="68">
        <f>88</f>
        <v>88</v>
      </c>
      <c r="B93" s="69">
        <f>EDATE(入力設定!$B$7,A93-1)</f>
        <v>48976</v>
      </c>
      <c r="C93" s="80">
        <f>INDEX(入力設定!$C$15:$C$24,INT((A93-1)/60)+1)</f>
        <v>2.5000000000000001E-2</v>
      </c>
      <c r="D93" s="70">
        <f t="shared" ca="1" si="39"/>
        <v>26095080.862546451</v>
      </c>
      <c r="E93" s="70">
        <f t="shared" ca="1" si="40"/>
        <v>293</v>
      </c>
      <c r="F93" s="70">
        <f ca="1">IF(D93+Z93&lt;0.000001,0,IF(D93&lt;0.000001,F92,IF(OR(AE93=1,AND(K92&gt;0,入力設定!$B$8="返済額軽減型",入力設定!$B$11="翌月")),IF(C93=0,D93/MAX(1,E93),D93*(C93/12)/(1-(1+C93/12)^(-MAX(1,E93)))),F92)))</f>
        <v>119082.40831799689</v>
      </c>
      <c r="G93" s="70">
        <f t="shared" ca="1" si="22"/>
        <v>119082.40831799689</v>
      </c>
      <c r="H93" s="70">
        <f t="shared" ca="1" si="23"/>
        <v>54364.751796971774</v>
      </c>
      <c r="I93" s="70">
        <f t="shared" ca="1" si="24"/>
        <v>64717.656521025114</v>
      </c>
      <c r="J93" s="70">
        <f>SUMIFS(入力設定!$G$5:$G$24,入力設定!$F$5:$F$24,A93)</f>
        <v>0</v>
      </c>
      <c r="K93" s="70">
        <f t="shared" ca="1" si="25"/>
        <v>0</v>
      </c>
      <c r="L93" s="70">
        <f ca="1">IF(K93&gt;0,入力設定!$B$9,0)</f>
        <v>0</v>
      </c>
      <c r="M93" s="70">
        <f t="shared" ca="1" si="26"/>
        <v>26030363.206025425</v>
      </c>
      <c r="N93" s="70">
        <f ca="1">IF(M93+AA93&lt;0.000001,0,IF(AND(K93&gt;0,入力設定!$B$8="期間短縮型",AA93&lt;0.000001,F93&gt;M93*C93/12),MAX(1,MIN(E93-1,IF(C93=0,ROUNDUP(M93/F93,0),ROUNDUP(-LN(1-M93*(C93/12)/F93)/LN(1+C93/12),0)))),MAX(1,E93-1)))</f>
        <v>292</v>
      </c>
      <c r="O93" s="70">
        <f t="shared" ca="1" si="27"/>
        <v>119082.40831799689</v>
      </c>
      <c r="P93" s="70">
        <f t="shared" ca="1" si="41"/>
        <v>29196757.287441205</v>
      </c>
      <c r="Q93" s="70">
        <f ca="1">IF(OR(A93&gt;入力設定!$B$6*12,P93+AC93&lt;0.000001),0,IF(P93&lt;0.000001,Q92,IF(AE93=1,IF(C93=0,P93/MAX(1,入力設定!$B$6*12-A93+1),P93*(C93/12)/(1-(1+C93/12)^(-MAX(1,入力設定!$B$6*12-A93+1)))),Q92)))</f>
        <v>121667.61455625904</v>
      </c>
      <c r="R93" s="70">
        <f ca="1">IF(P93+AC93&lt;0.000001,0,IF(A93=入力設定!$B$6*12,P93+AB93+AC93,MIN(Q93,P93+AB93+AC93)))</f>
        <v>121667.61455625904</v>
      </c>
      <c r="S93" s="70">
        <f t="shared" ca="1" si="28"/>
        <v>60826.577682169183</v>
      </c>
      <c r="T93" s="70">
        <f t="shared" ca="1" si="29"/>
        <v>60841.036874089856</v>
      </c>
      <c r="U93" s="70">
        <f t="shared" ca="1" si="30"/>
        <v>29135916.250567116</v>
      </c>
      <c r="V93" s="70">
        <f t="shared" ca="1" si="31"/>
        <v>0</v>
      </c>
      <c r="W93" s="70">
        <f t="shared" ca="1" si="32"/>
        <v>0</v>
      </c>
      <c r="X93" s="70">
        <f t="shared" ca="1" si="33"/>
        <v>0</v>
      </c>
      <c r="Y93" s="71">
        <f t="shared" ca="1" si="34"/>
        <v>54364.751796971774</v>
      </c>
      <c r="Z93" s="71">
        <f t="shared" ca="1" si="42"/>
        <v>0</v>
      </c>
      <c r="AA93" s="71">
        <f t="shared" ca="1" si="35"/>
        <v>0</v>
      </c>
      <c r="AB93" s="71">
        <f t="shared" ca="1" si="36"/>
        <v>60826.577682169183</v>
      </c>
      <c r="AC93" s="71">
        <f t="shared" ca="1" si="43"/>
        <v>0</v>
      </c>
      <c r="AD93" s="71">
        <f t="shared" ca="1" si="37"/>
        <v>0</v>
      </c>
      <c r="AE93" s="72">
        <f t="shared" si="38"/>
        <v>0</v>
      </c>
      <c r="AF93" s="73">
        <f>IF(A93&gt;入力設定!$B$6*12,0,IF(AND(ISNUMBER(C93),C93&gt;=0,C93&lt;=1),0,1))</f>
        <v>0</v>
      </c>
    </row>
    <row r="94" spans="1:32" ht="21" customHeight="1">
      <c r="A94" s="68">
        <f>89</f>
        <v>89</v>
      </c>
      <c r="B94" s="69">
        <f>EDATE(入力設定!$B$7,A94-1)</f>
        <v>49004</v>
      </c>
      <c r="C94" s="80">
        <f>INDEX(入力設定!$C$15:$C$24,INT((A94-1)/60)+1)</f>
        <v>2.5000000000000001E-2</v>
      </c>
      <c r="D94" s="70">
        <f t="shared" ca="1" si="39"/>
        <v>26030363.206025425</v>
      </c>
      <c r="E94" s="70">
        <f t="shared" ca="1" si="40"/>
        <v>292</v>
      </c>
      <c r="F94" s="70">
        <f ca="1">IF(D94+Z94&lt;0.000001,0,IF(D94&lt;0.000001,F93,IF(OR(AE94=1,AND(K93&gt;0,入力設定!$B$8="返済額軽減型",入力設定!$B$11="翌月")),IF(C94=0,D94/MAX(1,E94),D94*(C94/12)/(1-(1+C94/12)^(-MAX(1,E94)))),F93)))</f>
        <v>119082.40831799689</v>
      </c>
      <c r="G94" s="70">
        <f t="shared" ca="1" si="22"/>
        <v>119082.40831799689</v>
      </c>
      <c r="H94" s="70">
        <f t="shared" ca="1" si="23"/>
        <v>54229.923345886309</v>
      </c>
      <c r="I94" s="70">
        <f t="shared" ca="1" si="24"/>
        <v>64852.484972110578</v>
      </c>
      <c r="J94" s="70">
        <f>SUMIFS(入力設定!$G$5:$G$24,入力設定!$F$5:$F$24,A94)</f>
        <v>0</v>
      </c>
      <c r="K94" s="70">
        <f t="shared" ca="1" si="25"/>
        <v>0</v>
      </c>
      <c r="L94" s="70">
        <f ca="1">IF(K94&gt;0,入力設定!$B$9,0)</f>
        <v>0</v>
      </c>
      <c r="M94" s="70">
        <f t="shared" ca="1" si="26"/>
        <v>25965510.721053313</v>
      </c>
      <c r="N94" s="70">
        <f ca="1">IF(M94+AA94&lt;0.000001,0,IF(AND(K94&gt;0,入力設定!$B$8="期間短縮型",AA94&lt;0.000001,F94&gt;M94*C94/12),MAX(1,MIN(E94-1,IF(C94=0,ROUNDUP(M94/F94,0),ROUNDUP(-LN(1-M94*(C94/12)/F94)/LN(1+C94/12),0)))),MAX(1,E94-1)))</f>
        <v>291</v>
      </c>
      <c r="O94" s="70">
        <f t="shared" ca="1" si="27"/>
        <v>119082.40831799689</v>
      </c>
      <c r="P94" s="70">
        <f t="shared" ca="1" si="41"/>
        <v>29135916.250567116</v>
      </c>
      <c r="Q94" s="70">
        <f ca="1">IF(OR(A94&gt;入力設定!$B$6*12,P94+AC94&lt;0.000001),0,IF(P94&lt;0.000001,Q93,IF(AE94=1,IF(C94=0,P94/MAX(1,入力設定!$B$6*12-A94+1),P94*(C94/12)/(1-(1+C94/12)^(-MAX(1,入力設定!$B$6*12-A94+1)))),Q93)))</f>
        <v>121667.61455625904</v>
      </c>
      <c r="R94" s="70">
        <f ca="1">IF(P94+AC94&lt;0.000001,0,IF(A94=入力設定!$B$6*12,P94+AB94+AC94,MIN(Q94,P94+AB94+AC94)))</f>
        <v>121667.61455625904</v>
      </c>
      <c r="S94" s="70">
        <f t="shared" ca="1" si="28"/>
        <v>60699.825522014835</v>
      </c>
      <c r="T94" s="70">
        <f t="shared" ca="1" si="29"/>
        <v>60967.789034244204</v>
      </c>
      <c r="U94" s="70">
        <f t="shared" ca="1" si="30"/>
        <v>29074948.461532872</v>
      </c>
      <c r="V94" s="70">
        <f t="shared" ca="1" si="31"/>
        <v>0</v>
      </c>
      <c r="W94" s="70">
        <f t="shared" ca="1" si="32"/>
        <v>0</v>
      </c>
      <c r="X94" s="70">
        <f t="shared" ca="1" si="33"/>
        <v>0</v>
      </c>
      <c r="Y94" s="71">
        <f t="shared" ca="1" si="34"/>
        <v>54229.923345886309</v>
      </c>
      <c r="Z94" s="71">
        <f t="shared" ca="1" si="42"/>
        <v>0</v>
      </c>
      <c r="AA94" s="71">
        <f t="shared" ca="1" si="35"/>
        <v>0</v>
      </c>
      <c r="AB94" s="71">
        <f t="shared" ca="1" si="36"/>
        <v>60699.825522014835</v>
      </c>
      <c r="AC94" s="71">
        <f t="shared" ca="1" si="43"/>
        <v>0</v>
      </c>
      <c r="AD94" s="71">
        <f t="shared" ca="1" si="37"/>
        <v>0</v>
      </c>
      <c r="AE94" s="72">
        <f t="shared" si="38"/>
        <v>0</v>
      </c>
      <c r="AF94" s="73">
        <f>IF(A94&gt;入力設定!$B$6*12,0,IF(AND(ISNUMBER(C94),C94&gt;=0,C94&lt;=1),0,1))</f>
        <v>0</v>
      </c>
    </row>
    <row r="95" spans="1:32" ht="21" customHeight="1">
      <c r="A95" s="68">
        <f>90</f>
        <v>90</v>
      </c>
      <c r="B95" s="69">
        <f>EDATE(入力設定!$B$7,A95-1)</f>
        <v>49035</v>
      </c>
      <c r="C95" s="80">
        <f>INDEX(入力設定!$C$15:$C$24,INT((A95-1)/60)+1)</f>
        <v>2.5000000000000001E-2</v>
      </c>
      <c r="D95" s="70">
        <f t="shared" ca="1" si="39"/>
        <v>25965510.721053313</v>
      </c>
      <c r="E95" s="70">
        <f t="shared" ca="1" si="40"/>
        <v>291</v>
      </c>
      <c r="F95" s="70">
        <f ca="1">IF(D95+Z95&lt;0.000001,0,IF(D95&lt;0.000001,F94,IF(OR(AE95=1,AND(K94&gt;0,入力設定!$B$8="返済額軽減型",入力設定!$B$11="翌月")),IF(C95=0,D95/MAX(1,E95),D95*(C95/12)/(1-(1+C95/12)^(-MAX(1,E95)))),F94)))</f>
        <v>119082.40831799689</v>
      </c>
      <c r="G95" s="70">
        <f t="shared" ca="1" si="22"/>
        <v>119082.40831799689</v>
      </c>
      <c r="H95" s="70">
        <f t="shared" ca="1" si="23"/>
        <v>54094.814002194405</v>
      </c>
      <c r="I95" s="70">
        <f t="shared" ca="1" si="24"/>
        <v>64987.594315802482</v>
      </c>
      <c r="J95" s="70">
        <f>SUMIFS(入力設定!$G$5:$G$24,入力設定!$F$5:$F$24,A95)</f>
        <v>0</v>
      </c>
      <c r="K95" s="70">
        <f t="shared" ca="1" si="25"/>
        <v>0</v>
      </c>
      <c r="L95" s="70">
        <f ca="1">IF(K95&gt;0,入力設定!$B$9,0)</f>
        <v>0</v>
      </c>
      <c r="M95" s="70">
        <f t="shared" ca="1" si="26"/>
        <v>25900523.126737513</v>
      </c>
      <c r="N95" s="70">
        <f ca="1">IF(M95+AA95&lt;0.000001,0,IF(AND(K95&gt;0,入力設定!$B$8="期間短縮型",AA95&lt;0.000001,F95&gt;M95*C95/12),MAX(1,MIN(E95-1,IF(C95=0,ROUNDUP(M95/F95,0),ROUNDUP(-LN(1-M95*(C95/12)/F95)/LN(1+C95/12),0)))),MAX(1,E95-1)))</f>
        <v>290</v>
      </c>
      <c r="O95" s="70">
        <f t="shared" ca="1" si="27"/>
        <v>119082.40831799689</v>
      </c>
      <c r="P95" s="70">
        <f t="shared" ca="1" si="41"/>
        <v>29074948.461532872</v>
      </c>
      <c r="Q95" s="70">
        <f ca="1">IF(OR(A95&gt;入力設定!$B$6*12,P95+AC95&lt;0.000001),0,IF(P95&lt;0.000001,Q94,IF(AE95=1,IF(C95=0,P95/MAX(1,入力設定!$B$6*12-A95+1),P95*(C95/12)/(1-(1+C95/12)^(-MAX(1,入力設定!$B$6*12-A95+1)))),Q94)))</f>
        <v>121667.61455625904</v>
      </c>
      <c r="R95" s="70">
        <f ca="1">IF(P95+AC95&lt;0.000001,0,IF(A95=入力設定!$B$6*12,P95+AB95+AC95,MIN(Q95,P95+AB95+AC95)))</f>
        <v>121667.61455625904</v>
      </c>
      <c r="S95" s="70">
        <f t="shared" ca="1" si="28"/>
        <v>60572.809294860148</v>
      </c>
      <c r="T95" s="70">
        <f t="shared" ca="1" si="29"/>
        <v>61094.805261398891</v>
      </c>
      <c r="U95" s="70">
        <f t="shared" ca="1" si="30"/>
        <v>29013853.656271473</v>
      </c>
      <c r="V95" s="70">
        <f t="shared" ca="1" si="31"/>
        <v>0</v>
      </c>
      <c r="W95" s="70">
        <f t="shared" ca="1" si="32"/>
        <v>0</v>
      </c>
      <c r="X95" s="70">
        <f t="shared" ca="1" si="33"/>
        <v>0</v>
      </c>
      <c r="Y95" s="71">
        <f t="shared" ca="1" si="34"/>
        <v>54094.814002194405</v>
      </c>
      <c r="Z95" s="71">
        <f t="shared" ca="1" si="42"/>
        <v>0</v>
      </c>
      <c r="AA95" s="71">
        <f t="shared" ca="1" si="35"/>
        <v>0</v>
      </c>
      <c r="AB95" s="71">
        <f t="shared" ca="1" si="36"/>
        <v>60572.809294860148</v>
      </c>
      <c r="AC95" s="71">
        <f t="shared" ca="1" si="43"/>
        <v>0</v>
      </c>
      <c r="AD95" s="71">
        <f t="shared" ca="1" si="37"/>
        <v>0</v>
      </c>
      <c r="AE95" s="72">
        <f t="shared" si="38"/>
        <v>0</v>
      </c>
      <c r="AF95" s="73">
        <f>IF(A95&gt;入力設定!$B$6*12,0,IF(AND(ISNUMBER(C95),C95&gt;=0,C95&lt;=1),0,1))</f>
        <v>0</v>
      </c>
    </row>
    <row r="96" spans="1:32" ht="21" customHeight="1">
      <c r="A96" s="68">
        <f>91</f>
        <v>91</v>
      </c>
      <c r="B96" s="69">
        <f>EDATE(入力設定!$B$7,A96-1)</f>
        <v>49065</v>
      </c>
      <c r="C96" s="80">
        <f>INDEX(入力設定!$C$15:$C$24,INT((A96-1)/60)+1)</f>
        <v>2.5000000000000001E-2</v>
      </c>
      <c r="D96" s="70">
        <f t="shared" ca="1" si="39"/>
        <v>25900523.126737513</v>
      </c>
      <c r="E96" s="70">
        <f t="shared" ca="1" si="40"/>
        <v>290</v>
      </c>
      <c r="F96" s="70">
        <f ca="1">IF(D96+Z96&lt;0.000001,0,IF(D96&lt;0.000001,F95,IF(OR(AE96=1,AND(K95&gt;0,入力設定!$B$8="返済額軽減型",入力設定!$B$11="翌月")),IF(C96=0,D96/MAX(1,E96),D96*(C96/12)/(1-(1+C96/12)^(-MAX(1,E96)))),F95)))</f>
        <v>119082.40831799689</v>
      </c>
      <c r="G96" s="70">
        <f t="shared" ca="1" si="22"/>
        <v>119082.40831799689</v>
      </c>
      <c r="H96" s="70">
        <f t="shared" ca="1" si="23"/>
        <v>53959.423180703154</v>
      </c>
      <c r="I96" s="70">
        <f t="shared" ca="1" si="24"/>
        <v>65122.985137293734</v>
      </c>
      <c r="J96" s="70">
        <f>SUMIFS(入力設定!$G$5:$G$24,入力設定!$F$5:$F$24,A96)</f>
        <v>0</v>
      </c>
      <c r="K96" s="70">
        <f t="shared" ca="1" si="25"/>
        <v>0</v>
      </c>
      <c r="L96" s="70">
        <f ca="1">IF(K96&gt;0,入力設定!$B$9,0)</f>
        <v>0</v>
      </c>
      <c r="M96" s="70">
        <f t="shared" ca="1" si="26"/>
        <v>25835400.141600218</v>
      </c>
      <c r="N96" s="70">
        <f ca="1">IF(M96+AA96&lt;0.000001,0,IF(AND(K96&gt;0,入力設定!$B$8="期間短縮型",AA96&lt;0.000001,F96&gt;M96*C96/12),MAX(1,MIN(E96-1,IF(C96=0,ROUNDUP(M96/F96,0),ROUNDUP(-LN(1-M96*(C96/12)/F96)/LN(1+C96/12),0)))),MAX(1,E96-1)))</f>
        <v>289</v>
      </c>
      <c r="O96" s="70">
        <f t="shared" ca="1" si="27"/>
        <v>119082.40831799689</v>
      </c>
      <c r="P96" s="70">
        <f t="shared" ca="1" si="41"/>
        <v>29013853.656271473</v>
      </c>
      <c r="Q96" s="70">
        <f ca="1">IF(OR(A96&gt;入力設定!$B$6*12,P96+AC96&lt;0.000001),0,IF(P96&lt;0.000001,Q95,IF(AE96=1,IF(C96=0,P96/MAX(1,入力設定!$B$6*12-A96+1),P96*(C96/12)/(1-(1+C96/12)^(-MAX(1,入力設定!$B$6*12-A96+1)))),Q95)))</f>
        <v>121667.61455625904</v>
      </c>
      <c r="R96" s="70">
        <f ca="1">IF(P96+AC96&lt;0.000001,0,IF(A96=入力設定!$B$6*12,P96+AB96+AC96,MIN(Q96,P96+AB96+AC96)))</f>
        <v>121667.61455625904</v>
      </c>
      <c r="S96" s="70">
        <f t="shared" ca="1" si="28"/>
        <v>60445.528450565565</v>
      </c>
      <c r="T96" s="70">
        <f t="shared" ca="1" si="29"/>
        <v>61222.086105693474</v>
      </c>
      <c r="U96" s="70">
        <f t="shared" ca="1" si="30"/>
        <v>28952631.570165779</v>
      </c>
      <c r="V96" s="70">
        <f t="shared" ca="1" si="31"/>
        <v>0</v>
      </c>
      <c r="W96" s="70">
        <f t="shared" ca="1" si="32"/>
        <v>0</v>
      </c>
      <c r="X96" s="70">
        <f t="shared" ca="1" si="33"/>
        <v>0</v>
      </c>
      <c r="Y96" s="71">
        <f t="shared" ca="1" si="34"/>
        <v>53959.423180703154</v>
      </c>
      <c r="Z96" s="71">
        <f t="shared" ca="1" si="42"/>
        <v>0</v>
      </c>
      <c r="AA96" s="71">
        <f t="shared" ca="1" si="35"/>
        <v>0</v>
      </c>
      <c r="AB96" s="71">
        <f t="shared" ca="1" si="36"/>
        <v>60445.528450565565</v>
      </c>
      <c r="AC96" s="71">
        <f t="shared" ca="1" si="43"/>
        <v>0</v>
      </c>
      <c r="AD96" s="71">
        <f t="shared" ca="1" si="37"/>
        <v>0</v>
      </c>
      <c r="AE96" s="72">
        <f t="shared" si="38"/>
        <v>0</v>
      </c>
      <c r="AF96" s="73">
        <f>IF(A96&gt;入力設定!$B$6*12,0,IF(AND(ISNUMBER(C96),C96&gt;=0,C96&lt;=1),0,1))</f>
        <v>0</v>
      </c>
    </row>
    <row r="97" spans="1:32" ht="21" customHeight="1">
      <c r="A97" s="68">
        <f>92</f>
        <v>92</v>
      </c>
      <c r="B97" s="69">
        <f>EDATE(入力設定!$B$7,A97-1)</f>
        <v>49096</v>
      </c>
      <c r="C97" s="80">
        <f>INDEX(入力設定!$C$15:$C$24,INT((A97-1)/60)+1)</f>
        <v>2.5000000000000001E-2</v>
      </c>
      <c r="D97" s="70">
        <f t="shared" ca="1" si="39"/>
        <v>25835400.141600218</v>
      </c>
      <c r="E97" s="70">
        <f t="shared" ca="1" si="40"/>
        <v>289</v>
      </c>
      <c r="F97" s="70">
        <f ca="1">IF(D97+Z97&lt;0.000001,0,IF(D97&lt;0.000001,F96,IF(OR(AE97=1,AND(K96&gt;0,入力設定!$B$8="返済額軽減型",入力設定!$B$11="翌月")),IF(C97=0,D97/MAX(1,E97),D97*(C97/12)/(1-(1+C97/12)^(-MAX(1,E97)))),F96)))</f>
        <v>119082.40831799689</v>
      </c>
      <c r="G97" s="70">
        <f t="shared" ca="1" si="22"/>
        <v>119082.40831799689</v>
      </c>
      <c r="H97" s="70">
        <f t="shared" ca="1" si="23"/>
        <v>53823.750295000464</v>
      </c>
      <c r="I97" s="70">
        <f t="shared" ca="1" si="24"/>
        <v>65258.658022996424</v>
      </c>
      <c r="J97" s="70">
        <f>SUMIFS(入力設定!$G$5:$G$24,入力設定!$F$5:$F$24,A97)</f>
        <v>0</v>
      </c>
      <c r="K97" s="70">
        <f t="shared" ca="1" si="25"/>
        <v>0</v>
      </c>
      <c r="L97" s="70">
        <f ca="1">IF(K97&gt;0,入力設定!$B$9,0)</f>
        <v>0</v>
      </c>
      <c r="M97" s="70">
        <f t="shared" ca="1" si="26"/>
        <v>25770141.483577222</v>
      </c>
      <c r="N97" s="70">
        <f ca="1">IF(M97+AA97&lt;0.000001,0,IF(AND(K97&gt;0,入力設定!$B$8="期間短縮型",AA97&lt;0.000001,F97&gt;M97*C97/12),MAX(1,MIN(E97-1,IF(C97=0,ROUNDUP(M97/F97,0),ROUNDUP(-LN(1-M97*(C97/12)/F97)/LN(1+C97/12),0)))),MAX(1,E97-1)))</f>
        <v>288</v>
      </c>
      <c r="O97" s="70">
        <f t="shared" ca="1" si="27"/>
        <v>119082.40831799689</v>
      </c>
      <c r="P97" s="70">
        <f t="shared" ca="1" si="41"/>
        <v>28952631.570165779</v>
      </c>
      <c r="Q97" s="70">
        <f ca="1">IF(OR(A97&gt;入力設定!$B$6*12,P97+AC97&lt;0.000001),0,IF(P97&lt;0.000001,Q96,IF(AE97=1,IF(C97=0,P97/MAX(1,入力設定!$B$6*12-A97+1),P97*(C97/12)/(1-(1+C97/12)^(-MAX(1,入力設定!$B$6*12-A97+1)))),Q96)))</f>
        <v>121667.61455625904</v>
      </c>
      <c r="R97" s="70">
        <f ca="1">IF(P97+AC97&lt;0.000001,0,IF(A97=入力設定!$B$6*12,P97+AB97+AC97,MIN(Q97,P97+AB97+AC97)))</f>
        <v>121667.61455625904</v>
      </c>
      <c r="S97" s="70">
        <f t="shared" ca="1" si="28"/>
        <v>60317.982437845378</v>
      </c>
      <c r="T97" s="70">
        <f t="shared" ca="1" si="29"/>
        <v>61349.632118413661</v>
      </c>
      <c r="U97" s="70">
        <f t="shared" ca="1" si="30"/>
        <v>28891281.938047364</v>
      </c>
      <c r="V97" s="70">
        <f t="shared" ca="1" si="31"/>
        <v>0</v>
      </c>
      <c r="W97" s="70">
        <f t="shared" ca="1" si="32"/>
        <v>0</v>
      </c>
      <c r="X97" s="70">
        <f t="shared" ca="1" si="33"/>
        <v>0</v>
      </c>
      <c r="Y97" s="71">
        <f t="shared" ca="1" si="34"/>
        <v>53823.750295000464</v>
      </c>
      <c r="Z97" s="71">
        <f t="shared" ca="1" si="42"/>
        <v>0</v>
      </c>
      <c r="AA97" s="71">
        <f t="shared" ca="1" si="35"/>
        <v>0</v>
      </c>
      <c r="AB97" s="71">
        <f t="shared" ca="1" si="36"/>
        <v>60317.982437845378</v>
      </c>
      <c r="AC97" s="71">
        <f t="shared" ca="1" si="43"/>
        <v>0</v>
      </c>
      <c r="AD97" s="71">
        <f t="shared" ca="1" si="37"/>
        <v>0</v>
      </c>
      <c r="AE97" s="72">
        <f t="shared" si="38"/>
        <v>0</v>
      </c>
      <c r="AF97" s="73">
        <f>IF(A97&gt;入力設定!$B$6*12,0,IF(AND(ISNUMBER(C97),C97&gt;=0,C97&lt;=1),0,1))</f>
        <v>0</v>
      </c>
    </row>
    <row r="98" spans="1:32" ht="21" customHeight="1">
      <c r="A98" s="68">
        <f>93</f>
        <v>93</v>
      </c>
      <c r="B98" s="69">
        <f>EDATE(入力設定!$B$7,A98-1)</f>
        <v>49126</v>
      </c>
      <c r="C98" s="80">
        <f>INDEX(入力設定!$C$15:$C$24,INT((A98-1)/60)+1)</f>
        <v>2.5000000000000001E-2</v>
      </c>
      <c r="D98" s="70">
        <f t="shared" ca="1" si="39"/>
        <v>25770141.483577222</v>
      </c>
      <c r="E98" s="70">
        <f t="shared" ca="1" si="40"/>
        <v>288</v>
      </c>
      <c r="F98" s="70">
        <f ca="1">IF(D98+Z98&lt;0.000001,0,IF(D98&lt;0.000001,F97,IF(OR(AE98=1,AND(K97&gt;0,入力設定!$B$8="返済額軽減型",入力設定!$B$11="翌月")),IF(C98=0,D98/MAX(1,E98),D98*(C98/12)/(1-(1+C98/12)^(-MAX(1,E98)))),F97)))</f>
        <v>119082.40831799689</v>
      </c>
      <c r="G98" s="70">
        <f t="shared" ca="1" si="22"/>
        <v>119082.40831799689</v>
      </c>
      <c r="H98" s="70">
        <f t="shared" ca="1" si="23"/>
        <v>53687.794757452553</v>
      </c>
      <c r="I98" s="70">
        <f t="shared" ca="1" si="24"/>
        <v>65394.613560544334</v>
      </c>
      <c r="J98" s="70">
        <f>SUMIFS(入力設定!$G$5:$G$24,入力設定!$F$5:$F$24,A98)</f>
        <v>0</v>
      </c>
      <c r="K98" s="70">
        <f t="shared" ca="1" si="25"/>
        <v>0</v>
      </c>
      <c r="L98" s="70">
        <f ca="1">IF(K98&gt;0,入力設定!$B$9,0)</f>
        <v>0</v>
      </c>
      <c r="M98" s="70">
        <f t="shared" ca="1" si="26"/>
        <v>25704746.870016675</v>
      </c>
      <c r="N98" s="70">
        <f ca="1">IF(M98+AA98&lt;0.000001,0,IF(AND(K98&gt;0,入力設定!$B$8="期間短縮型",AA98&lt;0.000001,F98&gt;M98*C98/12),MAX(1,MIN(E98-1,IF(C98=0,ROUNDUP(M98/F98,0),ROUNDUP(-LN(1-M98*(C98/12)/F98)/LN(1+C98/12),0)))),MAX(1,E98-1)))</f>
        <v>287</v>
      </c>
      <c r="O98" s="70">
        <f t="shared" ca="1" si="27"/>
        <v>119082.40831799689</v>
      </c>
      <c r="P98" s="70">
        <f t="shared" ca="1" si="41"/>
        <v>28891281.938047364</v>
      </c>
      <c r="Q98" s="70">
        <f ca="1">IF(OR(A98&gt;入力設定!$B$6*12,P98+AC98&lt;0.000001),0,IF(P98&lt;0.000001,Q97,IF(AE98=1,IF(C98=0,P98/MAX(1,入力設定!$B$6*12-A98+1),P98*(C98/12)/(1-(1+C98/12)^(-MAX(1,入力設定!$B$6*12-A98+1)))),Q97)))</f>
        <v>121667.61455625904</v>
      </c>
      <c r="R98" s="70">
        <f ca="1">IF(P98+AC98&lt;0.000001,0,IF(A98=入力設定!$B$6*12,P98+AB98+AC98,MIN(Q98,P98+AB98+AC98)))</f>
        <v>121667.61455625904</v>
      </c>
      <c r="S98" s="70">
        <f t="shared" ca="1" si="28"/>
        <v>60190.170704265351</v>
      </c>
      <c r="T98" s="70">
        <f t="shared" ca="1" si="29"/>
        <v>61477.443851993688</v>
      </c>
      <c r="U98" s="70">
        <f t="shared" ca="1" si="30"/>
        <v>28829804.494195372</v>
      </c>
      <c r="V98" s="70">
        <f t="shared" ca="1" si="31"/>
        <v>0</v>
      </c>
      <c r="W98" s="70">
        <f t="shared" ca="1" si="32"/>
        <v>0</v>
      </c>
      <c r="X98" s="70">
        <f t="shared" ca="1" si="33"/>
        <v>0</v>
      </c>
      <c r="Y98" s="71">
        <f t="shared" ca="1" si="34"/>
        <v>53687.794757452553</v>
      </c>
      <c r="Z98" s="71">
        <f t="shared" ca="1" si="42"/>
        <v>0</v>
      </c>
      <c r="AA98" s="71">
        <f t="shared" ca="1" si="35"/>
        <v>0</v>
      </c>
      <c r="AB98" s="71">
        <f t="shared" ca="1" si="36"/>
        <v>60190.170704265351</v>
      </c>
      <c r="AC98" s="71">
        <f t="shared" ca="1" si="43"/>
        <v>0</v>
      </c>
      <c r="AD98" s="71">
        <f t="shared" ca="1" si="37"/>
        <v>0</v>
      </c>
      <c r="AE98" s="72">
        <f t="shared" si="38"/>
        <v>0</v>
      </c>
      <c r="AF98" s="73">
        <f>IF(A98&gt;入力設定!$B$6*12,0,IF(AND(ISNUMBER(C98),C98&gt;=0,C98&lt;=1),0,1))</f>
        <v>0</v>
      </c>
    </row>
    <row r="99" spans="1:32" ht="21" customHeight="1">
      <c r="A99" s="68">
        <f>94</f>
        <v>94</v>
      </c>
      <c r="B99" s="69">
        <f>EDATE(入力設定!$B$7,A99-1)</f>
        <v>49157</v>
      </c>
      <c r="C99" s="80">
        <f>INDEX(入力設定!$C$15:$C$24,INT((A99-1)/60)+1)</f>
        <v>2.5000000000000001E-2</v>
      </c>
      <c r="D99" s="70">
        <f t="shared" ca="1" si="39"/>
        <v>25704746.870016675</v>
      </c>
      <c r="E99" s="70">
        <f t="shared" ca="1" si="40"/>
        <v>287</v>
      </c>
      <c r="F99" s="70">
        <f ca="1">IF(D99+Z99&lt;0.000001,0,IF(D99&lt;0.000001,F98,IF(OR(AE99=1,AND(K98&gt;0,入力設定!$B$8="返済額軽減型",入力設定!$B$11="翌月")),IF(C99=0,D99/MAX(1,E99),D99*(C99/12)/(1-(1+C99/12)^(-MAX(1,E99)))),F98)))</f>
        <v>119082.40831799689</v>
      </c>
      <c r="G99" s="70">
        <f t="shared" ca="1" si="22"/>
        <v>119082.40831799689</v>
      </c>
      <c r="H99" s="70">
        <f t="shared" ca="1" si="23"/>
        <v>53551.555979201417</v>
      </c>
      <c r="I99" s="70">
        <f t="shared" ca="1" si="24"/>
        <v>65530.85233879547</v>
      </c>
      <c r="J99" s="70">
        <f>SUMIFS(入力設定!$G$5:$G$24,入力設定!$F$5:$F$24,A99)</f>
        <v>0</v>
      </c>
      <c r="K99" s="70">
        <f t="shared" ca="1" si="25"/>
        <v>0</v>
      </c>
      <c r="L99" s="70">
        <f ca="1">IF(K99&gt;0,入力設定!$B$9,0)</f>
        <v>0</v>
      </c>
      <c r="M99" s="70">
        <f t="shared" ca="1" si="26"/>
        <v>25639216.017677881</v>
      </c>
      <c r="N99" s="70">
        <f ca="1">IF(M99+AA99&lt;0.000001,0,IF(AND(K99&gt;0,入力設定!$B$8="期間短縮型",AA99&lt;0.000001,F99&gt;M99*C99/12),MAX(1,MIN(E99-1,IF(C99=0,ROUNDUP(M99/F99,0),ROUNDUP(-LN(1-M99*(C99/12)/F99)/LN(1+C99/12),0)))),MAX(1,E99-1)))</f>
        <v>286</v>
      </c>
      <c r="O99" s="70">
        <f t="shared" ca="1" si="27"/>
        <v>119082.40831799689</v>
      </c>
      <c r="P99" s="70">
        <f t="shared" ca="1" si="41"/>
        <v>28829804.494195372</v>
      </c>
      <c r="Q99" s="70">
        <f ca="1">IF(OR(A99&gt;入力設定!$B$6*12,P99+AC99&lt;0.000001),0,IF(P99&lt;0.000001,Q98,IF(AE99=1,IF(C99=0,P99/MAX(1,入力設定!$B$6*12-A99+1),P99*(C99/12)/(1-(1+C99/12)^(-MAX(1,入力設定!$B$6*12-A99+1)))),Q98)))</f>
        <v>121667.61455625904</v>
      </c>
      <c r="R99" s="70">
        <f ca="1">IF(P99+AC99&lt;0.000001,0,IF(A99=入力設定!$B$6*12,P99+AB99+AC99,MIN(Q99,P99+AB99+AC99)))</f>
        <v>121667.61455625904</v>
      </c>
      <c r="S99" s="70">
        <f t="shared" ca="1" si="28"/>
        <v>60062.092696240368</v>
      </c>
      <c r="T99" s="70">
        <f t="shared" ca="1" si="29"/>
        <v>61605.521860018671</v>
      </c>
      <c r="U99" s="70">
        <f t="shared" ca="1" si="30"/>
        <v>28768198.972335353</v>
      </c>
      <c r="V99" s="70">
        <f t="shared" ca="1" si="31"/>
        <v>0</v>
      </c>
      <c r="W99" s="70">
        <f t="shared" ca="1" si="32"/>
        <v>0</v>
      </c>
      <c r="X99" s="70">
        <f t="shared" ca="1" si="33"/>
        <v>0</v>
      </c>
      <c r="Y99" s="71">
        <f t="shared" ca="1" si="34"/>
        <v>53551.555979201417</v>
      </c>
      <c r="Z99" s="71">
        <f t="shared" ca="1" si="42"/>
        <v>0</v>
      </c>
      <c r="AA99" s="71">
        <f t="shared" ca="1" si="35"/>
        <v>0</v>
      </c>
      <c r="AB99" s="71">
        <f t="shared" ca="1" si="36"/>
        <v>60062.092696240368</v>
      </c>
      <c r="AC99" s="71">
        <f t="shared" ca="1" si="43"/>
        <v>0</v>
      </c>
      <c r="AD99" s="71">
        <f t="shared" ca="1" si="37"/>
        <v>0</v>
      </c>
      <c r="AE99" s="72">
        <f t="shared" si="38"/>
        <v>0</v>
      </c>
      <c r="AF99" s="73">
        <f>IF(A99&gt;入力設定!$B$6*12,0,IF(AND(ISNUMBER(C99),C99&gt;=0,C99&lt;=1),0,1))</f>
        <v>0</v>
      </c>
    </row>
    <row r="100" spans="1:32" ht="21" customHeight="1">
      <c r="A100" s="68">
        <f>95</f>
        <v>95</v>
      </c>
      <c r="B100" s="69">
        <f>EDATE(入力設定!$B$7,A100-1)</f>
        <v>49188</v>
      </c>
      <c r="C100" s="80">
        <f>INDEX(入力設定!$C$15:$C$24,INT((A100-1)/60)+1)</f>
        <v>2.5000000000000001E-2</v>
      </c>
      <c r="D100" s="70">
        <f t="shared" ca="1" si="39"/>
        <v>25639216.017677881</v>
      </c>
      <c r="E100" s="70">
        <f t="shared" ca="1" si="40"/>
        <v>286</v>
      </c>
      <c r="F100" s="70">
        <f ca="1">IF(D100+Z100&lt;0.000001,0,IF(D100&lt;0.000001,F99,IF(OR(AE100=1,AND(K99&gt;0,入力設定!$B$8="返済額軽減型",入力設定!$B$11="翌月")),IF(C100=0,D100/MAX(1,E100),D100*(C100/12)/(1-(1+C100/12)^(-MAX(1,E100)))),F99)))</f>
        <v>119082.40831799689</v>
      </c>
      <c r="G100" s="70">
        <f t="shared" ca="1" si="22"/>
        <v>119082.40831799689</v>
      </c>
      <c r="H100" s="70">
        <f t="shared" ca="1" si="23"/>
        <v>53415.033370162251</v>
      </c>
      <c r="I100" s="70">
        <f t="shared" ca="1" si="24"/>
        <v>65667.374947834644</v>
      </c>
      <c r="J100" s="70">
        <f>SUMIFS(入力設定!$G$5:$G$24,入力設定!$F$5:$F$24,A100)</f>
        <v>0</v>
      </c>
      <c r="K100" s="70">
        <f t="shared" ca="1" si="25"/>
        <v>0</v>
      </c>
      <c r="L100" s="70">
        <f ca="1">IF(K100&gt;0,入力設定!$B$9,0)</f>
        <v>0</v>
      </c>
      <c r="M100" s="70">
        <f t="shared" ca="1" si="26"/>
        <v>25573548.642730046</v>
      </c>
      <c r="N100" s="70">
        <f ca="1">IF(M100+AA100&lt;0.000001,0,IF(AND(K100&gt;0,入力設定!$B$8="期間短縮型",AA100&lt;0.000001,F100&gt;M100*C100/12),MAX(1,MIN(E100-1,IF(C100=0,ROUNDUP(M100/F100,0),ROUNDUP(-LN(1-M100*(C100/12)/F100)/LN(1+C100/12),0)))),MAX(1,E100-1)))</f>
        <v>285</v>
      </c>
      <c r="O100" s="70">
        <f t="shared" ca="1" si="27"/>
        <v>119082.40831799689</v>
      </c>
      <c r="P100" s="70">
        <f t="shared" ca="1" si="41"/>
        <v>28768198.972335353</v>
      </c>
      <c r="Q100" s="70">
        <f ca="1">IF(OR(A100&gt;入力設定!$B$6*12,P100+AC100&lt;0.000001),0,IF(P100&lt;0.000001,Q99,IF(AE100=1,IF(C100=0,P100/MAX(1,入力設定!$B$6*12-A100+1),P100*(C100/12)/(1-(1+C100/12)^(-MAX(1,入力設定!$B$6*12-A100+1)))),Q99)))</f>
        <v>121667.61455625904</v>
      </c>
      <c r="R100" s="70">
        <f ca="1">IF(P100+AC100&lt;0.000001,0,IF(A100=入力設定!$B$6*12,P100+AB100+AC100,MIN(Q100,P100+AB100+AC100)))</f>
        <v>121667.61455625904</v>
      </c>
      <c r="S100" s="70">
        <f t="shared" ca="1" si="28"/>
        <v>59933.747859031988</v>
      </c>
      <c r="T100" s="70">
        <f t="shared" ca="1" si="29"/>
        <v>61733.866697227051</v>
      </c>
      <c r="U100" s="70">
        <f t="shared" ca="1" si="30"/>
        <v>28706465.105638128</v>
      </c>
      <c r="V100" s="70">
        <f t="shared" ca="1" si="31"/>
        <v>0</v>
      </c>
      <c r="W100" s="70">
        <f t="shared" ca="1" si="32"/>
        <v>0</v>
      </c>
      <c r="X100" s="70">
        <f t="shared" ca="1" si="33"/>
        <v>0</v>
      </c>
      <c r="Y100" s="71">
        <f t="shared" ca="1" si="34"/>
        <v>53415.033370162251</v>
      </c>
      <c r="Z100" s="71">
        <f t="shared" ca="1" si="42"/>
        <v>0</v>
      </c>
      <c r="AA100" s="71">
        <f t="shared" ca="1" si="35"/>
        <v>0</v>
      </c>
      <c r="AB100" s="71">
        <f t="shared" ca="1" si="36"/>
        <v>59933.747859031988</v>
      </c>
      <c r="AC100" s="71">
        <f t="shared" ca="1" si="43"/>
        <v>0</v>
      </c>
      <c r="AD100" s="71">
        <f t="shared" ca="1" si="37"/>
        <v>0</v>
      </c>
      <c r="AE100" s="72">
        <f t="shared" si="38"/>
        <v>0</v>
      </c>
      <c r="AF100" s="73">
        <f>IF(A100&gt;入力設定!$B$6*12,0,IF(AND(ISNUMBER(C100),C100&gt;=0,C100&lt;=1),0,1))</f>
        <v>0</v>
      </c>
    </row>
    <row r="101" spans="1:32" ht="21" customHeight="1">
      <c r="A101" s="68">
        <f>96</f>
        <v>96</v>
      </c>
      <c r="B101" s="69">
        <f>EDATE(入力設定!$B$7,A101-1)</f>
        <v>49218</v>
      </c>
      <c r="C101" s="80">
        <f>INDEX(入力設定!$C$15:$C$24,INT((A101-1)/60)+1)</f>
        <v>2.5000000000000001E-2</v>
      </c>
      <c r="D101" s="70">
        <f t="shared" ca="1" si="39"/>
        <v>25573548.642730046</v>
      </c>
      <c r="E101" s="70">
        <f t="shared" ca="1" si="40"/>
        <v>285</v>
      </c>
      <c r="F101" s="70">
        <f ca="1">IF(D101+Z101&lt;0.000001,0,IF(D101&lt;0.000001,F100,IF(OR(AE101=1,AND(K100&gt;0,入力設定!$B$8="返済額軽減型",入力設定!$B$11="翌月")),IF(C101=0,D101/MAX(1,E101),D101*(C101/12)/(1-(1+C101/12)^(-MAX(1,E101)))),F100)))</f>
        <v>119082.40831799689</v>
      </c>
      <c r="G101" s="70">
        <f t="shared" ca="1" si="22"/>
        <v>119082.40831799689</v>
      </c>
      <c r="H101" s="70">
        <f t="shared" ca="1" si="23"/>
        <v>53278.226339020934</v>
      </c>
      <c r="I101" s="70">
        <f t="shared" ca="1" si="24"/>
        <v>65804.181978975947</v>
      </c>
      <c r="J101" s="70">
        <f>SUMIFS(入力設定!$G$5:$G$24,入力設定!$F$5:$F$24,A101)</f>
        <v>0</v>
      </c>
      <c r="K101" s="70">
        <f t="shared" ca="1" si="25"/>
        <v>0</v>
      </c>
      <c r="L101" s="70">
        <f ca="1">IF(K101&gt;0,入力設定!$B$9,0)</f>
        <v>0</v>
      </c>
      <c r="M101" s="70">
        <f t="shared" ca="1" si="26"/>
        <v>25507744.460751072</v>
      </c>
      <c r="N101" s="70">
        <f ca="1">IF(M101+AA101&lt;0.000001,0,IF(AND(K101&gt;0,入力設定!$B$8="期間短縮型",AA101&lt;0.000001,F101&gt;M101*C101/12),MAX(1,MIN(E101-1,IF(C101=0,ROUNDUP(M101/F101,0),ROUNDUP(-LN(1-M101*(C101/12)/F101)/LN(1+C101/12),0)))),MAX(1,E101-1)))</f>
        <v>284</v>
      </c>
      <c r="O101" s="70">
        <f t="shared" ca="1" si="27"/>
        <v>119082.40831799689</v>
      </c>
      <c r="P101" s="70">
        <f t="shared" ca="1" si="41"/>
        <v>28706465.105638128</v>
      </c>
      <c r="Q101" s="70">
        <f ca="1">IF(OR(A101&gt;入力設定!$B$6*12,P101+AC101&lt;0.000001),0,IF(P101&lt;0.000001,Q100,IF(AE101=1,IF(C101=0,P101/MAX(1,入力設定!$B$6*12-A101+1),P101*(C101/12)/(1-(1+C101/12)^(-MAX(1,入力設定!$B$6*12-A101+1)))),Q100)))</f>
        <v>121667.61455625904</v>
      </c>
      <c r="R101" s="70">
        <f ca="1">IF(P101+AC101&lt;0.000001,0,IF(A101=入力設定!$B$6*12,P101+AB101+AC101,MIN(Q101,P101+AB101+AC101)))</f>
        <v>121667.61455625904</v>
      </c>
      <c r="S101" s="70">
        <f t="shared" ca="1" si="28"/>
        <v>59805.135636746105</v>
      </c>
      <c r="T101" s="70">
        <f t="shared" ca="1" si="29"/>
        <v>61862.478919512934</v>
      </c>
      <c r="U101" s="70">
        <f t="shared" ca="1" si="30"/>
        <v>28644602.626718614</v>
      </c>
      <c r="V101" s="70">
        <f t="shared" ca="1" si="31"/>
        <v>0</v>
      </c>
      <c r="W101" s="70">
        <f t="shared" ca="1" si="32"/>
        <v>0</v>
      </c>
      <c r="X101" s="70">
        <f t="shared" ca="1" si="33"/>
        <v>0</v>
      </c>
      <c r="Y101" s="71">
        <f t="shared" ca="1" si="34"/>
        <v>53278.226339020934</v>
      </c>
      <c r="Z101" s="71">
        <f t="shared" ca="1" si="42"/>
        <v>0</v>
      </c>
      <c r="AA101" s="71">
        <f t="shared" ca="1" si="35"/>
        <v>0</v>
      </c>
      <c r="AB101" s="71">
        <f t="shared" ca="1" si="36"/>
        <v>59805.135636746105</v>
      </c>
      <c r="AC101" s="71">
        <f t="shared" ca="1" si="43"/>
        <v>0</v>
      </c>
      <c r="AD101" s="71">
        <f t="shared" ca="1" si="37"/>
        <v>0</v>
      </c>
      <c r="AE101" s="72">
        <f t="shared" si="38"/>
        <v>0</v>
      </c>
      <c r="AF101" s="73">
        <f>IF(A101&gt;入力設定!$B$6*12,0,IF(AND(ISNUMBER(C101),C101&gt;=0,C101&lt;=1),0,1))</f>
        <v>0</v>
      </c>
    </row>
    <row r="102" spans="1:32" ht="21" customHeight="1">
      <c r="A102" s="68">
        <f>97</f>
        <v>97</v>
      </c>
      <c r="B102" s="69">
        <f>EDATE(入力設定!$B$7,A102-1)</f>
        <v>49249</v>
      </c>
      <c r="C102" s="80">
        <f>INDEX(入力設定!$C$15:$C$24,INT((A102-1)/60)+1)</f>
        <v>2.5000000000000001E-2</v>
      </c>
      <c r="D102" s="70">
        <f t="shared" ca="1" si="39"/>
        <v>25507744.460751072</v>
      </c>
      <c r="E102" s="70">
        <f t="shared" ca="1" si="40"/>
        <v>284</v>
      </c>
      <c r="F102" s="70">
        <f ca="1">IF(D102+Z102&lt;0.000001,0,IF(D102&lt;0.000001,F101,IF(OR(AE102=1,AND(K101&gt;0,入力設定!$B$8="返済額軽減型",入力設定!$B$11="翌月")),IF(C102=0,D102/MAX(1,E102),D102*(C102/12)/(1-(1+C102/12)^(-MAX(1,E102)))),F101)))</f>
        <v>119082.40831799689</v>
      </c>
      <c r="G102" s="70">
        <f t="shared" ca="1" si="22"/>
        <v>119082.40831799689</v>
      </c>
      <c r="H102" s="70">
        <f t="shared" ca="1" si="23"/>
        <v>53141.134293231407</v>
      </c>
      <c r="I102" s="70">
        <f t="shared" ca="1" si="24"/>
        <v>65941.274024765473</v>
      </c>
      <c r="J102" s="70">
        <f>SUMIFS(入力設定!$G$5:$G$24,入力設定!$F$5:$F$24,A102)</f>
        <v>0</v>
      </c>
      <c r="K102" s="70">
        <f t="shared" ca="1" si="25"/>
        <v>0</v>
      </c>
      <c r="L102" s="70">
        <f ca="1">IF(K102&gt;0,入力設定!$B$9,0)</f>
        <v>0</v>
      </c>
      <c r="M102" s="70">
        <f t="shared" ca="1" si="26"/>
        <v>25441803.186726306</v>
      </c>
      <c r="N102" s="70">
        <f ca="1">IF(M102+AA102&lt;0.000001,0,IF(AND(K102&gt;0,入力設定!$B$8="期間短縮型",AA102&lt;0.000001,F102&gt;M102*C102/12),MAX(1,MIN(E102-1,IF(C102=0,ROUNDUP(M102/F102,0),ROUNDUP(-LN(1-M102*(C102/12)/F102)/LN(1+C102/12),0)))),MAX(1,E102-1)))</f>
        <v>283</v>
      </c>
      <c r="O102" s="70">
        <f t="shared" ca="1" si="27"/>
        <v>119082.40831799689</v>
      </c>
      <c r="P102" s="70">
        <f t="shared" ca="1" si="41"/>
        <v>28644602.626718614</v>
      </c>
      <c r="Q102" s="70">
        <f ca="1">IF(OR(A102&gt;入力設定!$B$6*12,P102+AC102&lt;0.000001),0,IF(P102&lt;0.000001,Q101,IF(AE102=1,IF(C102=0,P102/MAX(1,入力設定!$B$6*12-A102+1),P102*(C102/12)/(1-(1+C102/12)^(-MAX(1,入力設定!$B$6*12-A102+1)))),Q101)))</f>
        <v>121667.61455625904</v>
      </c>
      <c r="R102" s="70">
        <f ca="1">IF(P102+AC102&lt;0.000001,0,IF(A102=入力設定!$B$6*12,P102+AB102+AC102,MIN(Q102,P102+AB102+AC102)))</f>
        <v>121667.61455625904</v>
      </c>
      <c r="S102" s="70">
        <f t="shared" ca="1" si="28"/>
        <v>59676.255472330457</v>
      </c>
      <c r="T102" s="70">
        <f t="shared" ca="1" si="29"/>
        <v>61991.359083928583</v>
      </c>
      <c r="U102" s="70">
        <f t="shared" ca="1" si="30"/>
        <v>28582611.267634686</v>
      </c>
      <c r="V102" s="70">
        <f t="shared" ca="1" si="31"/>
        <v>0</v>
      </c>
      <c r="W102" s="70">
        <f t="shared" ca="1" si="32"/>
        <v>0</v>
      </c>
      <c r="X102" s="70">
        <f t="shared" ca="1" si="33"/>
        <v>0</v>
      </c>
      <c r="Y102" s="71">
        <f t="shared" ca="1" si="34"/>
        <v>53141.134293231407</v>
      </c>
      <c r="Z102" s="71">
        <f t="shared" ca="1" si="42"/>
        <v>0</v>
      </c>
      <c r="AA102" s="71">
        <f t="shared" ca="1" si="35"/>
        <v>0</v>
      </c>
      <c r="AB102" s="71">
        <f t="shared" ca="1" si="36"/>
        <v>59676.255472330457</v>
      </c>
      <c r="AC102" s="71">
        <f t="shared" ca="1" si="43"/>
        <v>0</v>
      </c>
      <c r="AD102" s="71">
        <f t="shared" ca="1" si="37"/>
        <v>0</v>
      </c>
      <c r="AE102" s="72">
        <f t="shared" si="38"/>
        <v>0</v>
      </c>
      <c r="AF102" s="73">
        <f>IF(A102&gt;入力設定!$B$6*12,0,IF(AND(ISNUMBER(C102),C102&gt;=0,C102&lt;=1),0,1))</f>
        <v>0</v>
      </c>
    </row>
    <row r="103" spans="1:32" ht="21" customHeight="1">
      <c r="A103" s="68">
        <f>98</f>
        <v>98</v>
      </c>
      <c r="B103" s="69">
        <f>EDATE(入力設定!$B$7,A103-1)</f>
        <v>49279</v>
      </c>
      <c r="C103" s="80">
        <f>INDEX(入力設定!$C$15:$C$24,INT((A103-1)/60)+1)</f>
        <v>2.5000000000000001E-2</v>
      </c>
      <c r="D103" s="70">
        <f t="shared" ca="1" si="39"/>
        <v>25441803.186726306</v>
      </c>
      <c r="E103" s="70">
        <f t="shared" ca="1" si="40"/>
        <v>283</v>
      </c>
      <c r="F103" s="70">
        <f ca="1">IF(D103+Z103&lt;0.000001,0,IF(D103&lt;0.000001,F102,IF(OR(AE103=1,AND(K102&gt;0,入力設定!$B$8="返済額軽減型",入力設定!$B$11="翌月")),IF(C103=0,D103/MAX(1,E103),D103*(C103/12)/(1-(1+C103/12)^(-MAX(1,E103)))),F102)))</f>
        <v>119082.40831799689</v>
      </c>
      <c r="G103" s="70">
        <f t="shared" ca="1" si="22"/>
        <v>119082.40831799689</v>
      </c>
      <c r="H103" s="70">
        <f t="shared" ca="1" si="23"/>
        <v>53003.756639013147</v>
      </c>
      <c r="I103" s="70">
        <f t="shared" ca="1" si="24"/>
        <v>66078.651678983733</v>
      </c>
      <c r="J103" s="70">
        <f>SUMIFS(入力設定!$G$5:$G$24,入力設定!$F$5:$F$24,A103)</f>
        <v>0</v>
      </c>
      <c r="K103" s="70">
        <f t="shared" ca="1" si="25"/>
        <v>0</v>
      </c>
      <c r="L103" s="70">
        <f ca="1">IF(K103&gt;0,入力設定!$B$9,0)</f>
        <v>0</v>
      </c>
      <c r="M103" s="70">
        <f t="shared" ca="1" si="26"/>
        <v>25375724.535047323</v>
      </c>
      <c r="N103" s="70">
        <f ca="1">IF(M103+AA103&lt;0.000001,0,IF(AND(K103&gt;0,入力設定!$B$8="期間短縮型",AA103&lt;0.000001,F103&gt;M103*C103/12),MAX(1,MIN(E103-1,IF(C103=0,ROUNDUP(M103/F103,0),ROUNDUP(-LN(1-M103*(C103/12)/F103)/LN(1+C103/12),0)))),MAX(1,E103-1)))</f>
        <v>282</v>
      </c>
      <c r="O103" s="70">
        <f t="shared" ca="1" si="27"/>
        <v>119082.40831799689</v>
      </c>
      <c r="P103" s="70">
        <f t="shared" ca="1" si="41"/>
        <v>28582611.267634686</v>
      </c>
      <c r="Q103" s="70">
        <f ca="1">IF(OR(A103&gt;入力設定!$B$6*12,P103+AC103&lt;0.000001),0,IF(P103&lt;0.000001,Q102,IF(AE103=1,IF(C103=0,P103/MAX(1,入力設定!$B$6*12-A103+1),P103*(C103/12)/(1-(1+C103/12)^(-MAX(1,入力設定!$B$6*12-A103+1)))),Q102)))</f>
        <v>121667.61455625904</v>
      </c>
      <c r="R103" s="70">
        <f ca="1">IF(P103+AC103&lt;0.000001,0,IF(A103=入力設定!$B$6*12,P103+AB103+AC103,MIN(Q103,P103+AB103+AC103)))</f>
        <v>121667.61455625904</v>
      </c>
      <c r="S103" s="70">
        <f t="shared" ca="1" si="28"/>
        <v>59547.106807572265</v>
      </c>
      <c r="T103" s="70">
        <f t="shared" ca="1" si="29"/>
        <v>62120.507748686774</v>
      </c>
      <c r="U103" s="70">
        <f t="shared" ca="1" si="30"/>
        <v>28520490.759886</v>
      </c>
      <c r="V103" s="70">
        <f t="shared" ca="1" si="31"/>
        <v>0</v>
      </c>
      <c r="W103" s="70">
        <f t="shared" ca="1" si="32"/>
        <v>0</v>
      </c>
      <c r="X103" s="70">
        <f t="shared" ca="1" si="33"/>
        <v>0</v>
      </c>
      <c r="Y103" s="71">
        <f t="shared" ca="1" si="34"/>
        <v>53003.756639013147</v>
      </c>
      <c r="Z103" s="71">
        <f t="shared" ca="1" si="42"/>
        <v>0</v>
      </c>
      <c r="AA103" s="71">
        <f t="shared" ca="1" si="35"/>
        <v>0</v>
      </c>
      <c r="AB103" s="71">
        <f t="shared" ca="1" si="36"/>
        <v>59547.106807572265</v>
      </c>
      <c r="AC103" s="71">
        <f t="shared" ca="1" si="43"/>
        <v>0</v>
      </c>
      <c r="AD103" s="71">
        <f t="shared" ca="1" si="37"/>
        <v>0</v>
      </c>
      <c r="AE103" s="72">
        <f t="shared" si="38"/>
        <v>0</v>
      </c>
      <c r="AF103" s="73">
        <f>IF(A103&gt;入力設定!$B$6*12,0,IF(AND(ISNUMBER(C103),C103&gt;=0,C103&lt;=1),0,1))</f>
        <v>0</v>
      </c>
    </row>
    <row r="104" spans="1:32" ht="21" customHeight="1">
      <c r="A104" s="68">
        <f>99</f>
        <v>99</v>
      </c>
      <c r="B104" s="69">
        <f>EDATE(入力設定!$B$7,A104-1)</f>
        <v>49310</v>
      </c>
      <c r="C104" s="80">
        <f>INDEX(入力設定!$C$15:$C$24,INT((A104-1)/60)+1)</f>
        <v>2.5000000000000001E-2</v>
      </c>
      <c r="D104" s="70">
        <f t="shared" ca="1" si="39"/>
        <v>25375724.535047323</v>
      </c>
      <c r="E104" s="70">
        <f t="shared" ca="1" si="40"/>
        <v>282</v>
      </c>
      <c r="F104" s="70">
        <f ca="1">IF(D104+Z104&lt;0.000001,0,IF(D104&lt;0.000001,F103,IF(OR(AE104=1,AND(K103&gt;0,入力設定!$B$8="返済額軽減型",入力設定!$B$11="翌月")),IF(C104=0,D104/MAX(1,E104),D104*(C104/12)/(1-(1+C104/12)^(-MAX(1,E104)))),F103)))</f>
        <v>119082.40831799689</v>
      </c>
      <c r="G104" s="70">
        <f t="shared" ca="1" si="22"/>
        <v>119082.40831799689</v>
      </c>
      <c r="H104" s="70">
        <f t="shared" ca="1" si="23"/>
        <v>52866.092781348591</v>
      </c>
      <c r="I104" s="70">
        <f t="shared" ca="1" si="24"/>
        <v>66216.315536648297</v>
      </c>
      <c r="J104" s="70">
        <f>SUMIFS(入力設定!$G$5:$G$24,入力設定!$F$5:$F$24,A104)</f>
        <v>0</v>
      </c>
      <c r="K104" s="70">
        <f t="shared" ca="1" si="25"/>
        <v>0</v>
      </c>
      <c r="L104" s="70">
        <f ca="1">IF(K104&gt;0,入力設定!$B$9,0)</f>
        <v>0</v>
      </c>
      <c r="M104" s="70">
        <f t="shared" ca="1" si="26"/>
        <v>25309508.219510674</v>
      </c>
      <c r="N104" s="70">
        <f ca="1">IF(M104+AA104&lt;0.000001,0,IF(AND(K104&gt;0,入力設定!$B$8="期間短縮型",AA104&lt;0.000001,F104&gt;M104*C104/12),MAX(1,MIN(E104-1,IF(C104=0,ROUNDUP(M104/F104,0),ROUNDUP(-LN(1-M104*(C104/12)/F104)/LN(1+C104/12),0)))),MAX(1,E104-1)))</f>
        <v>281</v>
      </c>
      <c r="O104" s="70">
        <f t="shared" ca="1" si="27"/>
        <v>119082.40831799689</v>
      </c>
      <c r="P104" s="70">
        <f t="shared" ca="1" si="41"/>
        <v>28520490.759886</v>
      </c>
      <c r="Q104" s="70">
        <f ca="1">IF(OR(A104&gt;入力設定!$B$6*12,P104+AC104&lt;0.000001),0,IF(P104&lt;0.000001,Q103,IF(AE104=1,IF(C104=0,P104/MAX(1,入力設定!$B$6*12-A104+1),P104*(C104/12)/(1-(1+C104/12)^(-MAX(1,入力設定!$B$6*12-A104+1)))),Q103)))</f>
        <v>121667.61455625904</v>
      </c>
      <c r="R104" s="70">
        <f ca="1">IF(P104+AC104&lt;0.000001,0,IF(A104=入力設定!$B$6*12,P104+AB104+AC104,MIN(Q104,P104+AB104+AC104)))</f>
        <v>121667.61455625904</v>
      </c>
      <c r="S104" s="70">
        <f t="shared" ca="1" si="28"/>
        <v>59417.689083095836</v>
      </c>
      <c r="T104" s="70">
        <f t="shared" ca="1" si="29"/>
        <v>62249.925473163203</v>
      </c>
      <c r="U104" s="70">
        <f t="shared" ca="1" si="30"/>
        <v>28458240.834412836</v>
      </c>
      <c r="V104" s="70">
        <f t="shared" ca="1" si="31"/>
        <v>0</v>
      </c>
      <c r="W104" s="70">
        <f t="shared" ca="1" si="32"/>
        <v>0</v>
      </c>
      <c r="X104" s="70">
        <f t="shared" ca="1" si="33"/>
        <v>0</v>
      </c>
      <c r="Y104" s="71">
        <f t="shared" ca="1" si="34"/>
        <v>52866.092781348591</v>
      </c>
      <c r="Z104" s="71">
        <f t="shared" ca="1" si="42"/>
        <v>0</v>
      </c>
      <c r="AA104" s="71">
        <f t="shared" ca="1" si="35"/>
        <v>0</v>
      </c>
      <c r="AB104" s="71">
        <f t="shared" ca="1" si="36"/>
        <v>59417.689083095836</v>
      </c>
      <c r="AC104" s="71">
        <f t="shared" ca="1" si="43"/>
        <v>0</v>
      </c>
      <c r="AD104" s="71">
        <f t="shared" ca="1" si="37"/>
        <v>0</v>
      </c>
      <c r="AE104" s="72">
        <f t="shared" si="38"/>
        <v>0</v>
      </c>
      <c r="AF104" s="73">
        <f>IF(A104&gt;入力設定!$B$6*12,0,IF(AND(ISNUMBER(C104),C104&gt;=0,C104&lt;=1),0,1))</f>
        <v>0</v>
      </c>
    </row>
    <row r="105" spans="1:32" ht="21" customHeight="1">
      <c r="A105" s="68">
        <f>100</f>
        <v>100</v>
      </c>
      <c r="B105" s="69">
        <f>EDATE(入力設定!$B$7,A105-1)</f>
        <v>49341</v>
      </c>
      <c r="C105" s="80">
        <f>INDEX(入力設定!$C$15:$C$24,INT((A105-1)/60)+1)</f>
        <v>2.5000000000000001E-2</v>
      </c>
      <c r="D105" s="70">
        <f t="shared" ca="1" si="39"/>
        <v>25309508.219510674</v>
      </c>
      <c r="E105" s="70">
        <f t="shared" ca="1" si="40"/>
        <v>281</v>
      </c>
      <c r="F105" s="70">
        <f ca="1">IF(D105+Z105&lt;0.000001,0,IF(D105&lt;0.000001,F104,IF(OR(AE105=1,AND(K104&gt;0,入力設定!$B$8="返済額軽減型",入力設定!$B$11="翌月")),IF(C105=0,D105/MAX(1,E105),D105*(C105/12)/(1-(1+C105/12)^(-MAX(1,E105)))),F104)))</f>
        <v>119082.40831799689</v>
      </c>
      <c r="G105" s="70">
        <f t="shared" ca="1" si="22"/>
        <v>119082.40831799689</v>
      </c>
      <c r="H105" s="70">
        <f t="shared" ca="1" si="23"/>
        <v>52728.142123980571</v>
      </c>
      <c r="I105" s="70">
        <f t="shared" ca="1" si="24"/>
        <v>66354.266194016323</v>
      </c>
      <c r="J105" s="70">
        <f>SUMIFS(入力設定!$G$5:$G$24,入力設定!$F$5:$F$24,A105)</f>
        <v>0</v>
      </c>
      <c r="K105" s="70">
        <f t="shared" ca="1" si="25"/>
        <v>0</v>
      </c>
      <c r="L105" s="70">
        <f ca="1">IF(K105&gt;0,入力設定!$B$9,0)</f>
        <v>0</v>
      </c>
      <c r="M105" s="70">
        <f t="shared" ca="1" si="26"/>
        <v>25243153.953316659</v>
      </c>
      <c r="N105" s="70">
        <f ca="1">IF(M105+AA105&lt;0.000001,0,IF(AND(K105&gt;0,入力設定!$B$8="期間短縮型",AA105&lt;0.000001,F105&gt;M105*C105/12),MAX(1,MIN(E105-1,IF(C105=0,ROUNDUP(M105/F105,0),ROUNDUP(-LN(1-M105*(C105/12)/F105)/LN(1+C105/12),0)))),MAX(1,E105-1)))</f>
        <v>280</v>
      </c>
      <c r="O105" s="70">
        <f t="shared" ca="1" si="27"/>
        <v>119082.40831799689</v>
      </c>
      <c r="P105" s="70">
        <f t="shared" ca="1" si="41"/>
        <v>28458240.834412836</v>
      </c>
      <c r="Q105" s="70">
        <f ca="1">IF(OR(A105&gt;入力設定!$B$6*12,P105+AC105&lt;0.000001),0,IF(P105&lt;0.000001,Q104,IF(AE105=1,IF(C105=0,P105/MAX(1,入力設定!$B$6*12-A105+1),P105*(C105/12)/(1-(1+C105/12)^(-MAX(1,入力設定!$B$6*12-A105+1)))),Q104)))</f>
        <v>121667.61455625904</v>
      </c>
      <c r="R105" s="70">
        <f ca="1">IF(P105+AC105&lt;0.000001,0,IF(A105=入力設定!$B$6*12,P105+AB105+AC105,MIN(Q105,P105+AB105+AC105)))</f>
        <v>121667.61455625904</v>
      </c>
      <c r="S105" s="70">
        <f t="shared" ca="1" si="28"/>
        <v>59288.001738360072</v>
      </c>
      <c r="T105" s="70">
        <f t="shared" ca="1" si="29"/>
        <v>62379.612817898967</v>
      </c>
      <c r="U105" s="70">
        <f t="shared" ca="1" si="30"/>
        <v>28395861.221594937</v>
      </c>
      <c r="V105" s="70">
        <f t="shared" ca="1" si="31"/>
        <v>0</v>
      </c>
      <c r="W105" s="70">
        <f t="shared" ca="1" si="32"/>
        <v>0</v>
      </c>
      <c r="X105" s="70">
        <f t="shared" ca="1" si="33"/>
        <v>0</v>
      </c>
      <c r="Y105" s="71">
        <f t="shared" ca="1" si="34"/>
        <v>52728.142123980571</v>
      </c>
      <c r="Z105" s="71">
        <f t="shared" ca="1" si="42"/>
        <v>0</v>
      </c>
      <c r="AA105" s="71">
        <f t="shared" ca="1" si="35"/>
        <v>0</v>
      </c>
      <c r="AB105" s="71">
        <f t="shared" ca="1" si="36"/>
        <v>59288.001738360072</v>
      </c>
      <c r="AC105" s="71">
        <f t="shared" ca="1" si="43"/>
        <v>0</v>
      </c>
      <c r="AD105" s="71">
        <f t="shared" ca="1" si="37"/>
        <v>0</v>
      </c>
      <c r="AE105" s="72">
        <f t="shared" si="38"/>
        <v>0</v>
      </c>
      <c r="AF105" s="73">
        <f>IF(A105&gt;入力設定!$B$6*12,0,IF(AND(ISNUMBER(C105),C105&gt;=0,C105&lt;=1),0,1))</f>
        <v>0</v>
      </c>
    </row>
    <row r="106" spans="1:32" ht="21" customHeight="1">
      <c r="A106" s="68">
        <f>101</f>
        <v>101</v>
      </c>
      <c r="B106" s="69">
        <f>EDATE(入力設定!$B$7,A106-1)</f>
        <v>49369</v>
      </c>
      <c r="C106" s="80">
        <f>INDEX(入力設定!$C$15:$C$24,INT((A106-1)/60)+1)</f>
        <v>2.5000000000000001E-2</v>
      </c>
      <c r="D106" s="70">
        <f t="shared" ca="1" si="39"/>
        <v>25243153.953316659</v>
      </c>
      <c r="E106" s="70">
        <f t="shared" ca="1" si="40"/>
        <v>280</v>
      </c>
      <c r="F106" s="70">
        <f ca="1">IF(D106+Z106&lt;0.000001,0,IF(D106&lt;0.000001,F105,IF(OR(AE106=1,AND(K105&gt;0,入力設定!$B$8="返済額軽減型",入力設定!$B$11="翌月")),IF(C106=0,D106/MAX(1,E106),D106*(C106/12)/(1-(1+C106/12)^(-MAX(1,E106)))),F105)))</f>
        <v>119082.40831799689</v>
      </c>
      <c r="G106" s="70">
        <f t="shared" ca="1" si="22"/>
        <v>119082.40831799689</v>
      </c>
      <c r="H106" s="70">
        <f t="shared" ca="1" si="23"/>
        <v>52589.904069409706</v>
      </c>
      <c r="I106" s="70">
        <f t="shared" ca="1" si="24"/>
        <v>66492.504248587182</v>
      </c>
      <c r="J106" s="70">
        <f>SUMIFS(入力設定!$G$5:$G$24,入力設定!$F$5:$F$24,A106)</f>
        <v>0</v>
      </c>
      <c r="K106" s="70">
        <f t="shared" ca="1" si="25"/>
        <v>0</v>
      </c>
      <c r="L106" s="70">
        <f ca="1">IF(K106&gt;0,入力設定!$B$9,0)</f>
        <v>0</v>
      </c>
      <c r="M106" s="70">
        <f t="shared" ca="1" si="26"/>
        <v>25176661.449068073</v>
      </c>
      <c r="N106" s="70">
        <f ca="1">IF(M106+AA106&lt;0.000001,0,IF(AND(K106&gt;0,入力設定!$B$8="期間短縮型",AA106&lt;0.000001,F106&gt;M106*C106/12),MAX(1,MIN(E106-1,IF(C106=0,ROUNDUP(M106/F106,0),ROUNDUP(-LN(1-M106*(C106/12)/F106)/LN(1+C106/12),0)))),MAX(1,E106-1)))</f>
        <v>279</v>
      </c>
      <c r="O106" s="70">
        <f t="shared" ca="1" si="27"/>
        <v>119082.40831799689</v>
      </c>
      <c r="P106" s="70">
        <f t="shared" ca="1" si="41"/>
        <v>28395861.221594937</v>
      </c>
      <c r="Q106" s="70">
        <f ca="1">IF(OR(A106&gt;入力設定!$B$6*12,P106+AC106&lt;0.000001),0,IF(P106&lt;0.000001,Q105,IF(AE106=1,IF(C106=0,P106/MAX(1,入力設定!$B$6*12-A106+1),P106*(C106/12)/(1-(1+C106/12)^(-MAX(1,入力設定!$B$6*12-A106+1)))),Q105)))</f>
        <v>121667.61455625904</v>
      </c>
      <c r="R106" s="70">
        <f ca="1">IF(P106+AC106&lt;0.000001,0,IF(A106=入力設定!$B$6*12,P106+AB106+AC106,MIN(Q106,P106+AB106+AC106)))</f>
        <v>121667.61455625904</v>
      </c>
      <c r="S106" s="70">
        <f t="shared" ca="1" si="28"/>
        <v>59158.044211656124</v>
      </c>
      <c r="T106" s="70">
        <f t="shared" ca="1" si="29"/>
        <v>62509.570344602915</v>
      </c>
      <c r="U106" s="70">
        <f t="shared" ca="1" si="30"/>
        <v>28333351.651250333</v>
      </c>
      <c r="V106" s="70">
        <f t="shared" ca="1" si="31"/>
        <v>0</v>
      </c>
      <c r="W106" s="70">
        <f t="shared" ca="1" si="32"/>
        <v>0</v>
      </c>
      <c r="X106" s="70">
        <f t="shared" ca="1" si="33"/>
        <v>0</v>
      </c>
      <c r="Y106" s="71">
        <f t="shared" ca="1" si="34"/>
        <v>52589.904069409706</v>
      </c>
      <c r="Z106" s="71">
        <f t="shared" ca="1" si="42"/>
        <v>0</v>
      </c>
      <c r="AA106" s="71">
        <f t="shared" ca="1" si="35"/>
        <v>0</v>
      </c>
      <c r="AB106" s="71">
        <f t="shared" ca="1" si="36"/>
        <v>59158.044211656124</v>
      </c>
      <c r="AC106" s="71">
        <f t="shared" ca="1" si="43"/>
        <v>0</v>
      </c>
      <c r="AD106" s="71">
        <f t="shared" ca="1" si="37"/>
        <v>0</v>
      </c>
      <c r="AE106" s="72">
        <f t="shared" si="38"/>
        <v>0</v>
      </c>
      <c r="AF106" s="73">
        <f>IF(A106&gt;入力設定!$B$6*12,0,IF(AND(ISNUMBER(C106),C106&gt;=0,C106&lt;=1),0,1))</f>
        <v>0</v>
      </c>
    </row>
    <row r="107" spans="1:32" ht="21" customHeight="1">
      <c r="A107" s="68">
        <f>102</f>
        <v>102</v>
      </c>
      <c r="B107" s="69">
        <f>EDATE(入力設定!$B$7,A107-1)</f>
        <v>49400</v>
      </c>
      <c r="C107" s="80">
        <f>INDEX(入力設定!$C$15:$C$24,INT((A107-1)/60)+1)</f>
        <v>2.5000000000000001E-2</v>
      </c>
      <c r="D107" s="70">
        <f t="shared" ca="1" si="39"/>
        <v>25176661.449068073</v>
      </c>
      <c r="E107" s="70">
        <f t="shared" ca="1" si="40"/>
        <v>279</v>
      </c>
      <c r="F107" s="70">
        <f ca="1">IF(D107+Z107&lt;0.000001,0,IF(D107&lt;0.000001,F106,IF(OR(AE107=1,AND(K106&gt;0,入力設定!$B$8="返済額軽減型",入力設定!$B$11="翌月")),IF(C107=0,D107/MAX(1,E107),D107*(C107/12)/(1-(1+C107/12)^(-MAX(1,E107)))),F106)))</f>
        <v>119082.40831799689</v>
      </c>
      <c r="G107" s="70">
        <f t="shared" ca="1" si="22"/>
        <v>119082.40831799689</v>
      </c>
      <c r="H107" s="70">
        <f t="shared" ca="1" si="23"/>
        <v>52451.378018891824</v>
      </c>
      <c r="I107" s="70">
        <f t="shared" ca="1" si="24"/>
        <v>66631.03029910507</v>
      </c>
      <c r="J107" s="70">
        <f>SUMIFS(入力設定!$G$5:$G$24,入力設定!$F$5:$F$24,A107)</f>
        <v>0</v>
      </c>
      <c r="K107" s="70">
        <f t="shared" ca="1" si="25"/>
        <v>0</v>
      </c>
      <c r="L107" s="70">
        <f ca="1">IF(K107&gt;0,入力設定!$B$9,0)</f>
        <v>0</v>
      </c>
      <c r="M107" s="70">
        <f t="shared" ca="1" si="26"/>
        <v>25110030.418768968</v>
      </c>
      <c r="N107" s="70">
        <f ca="1">IF(M107+AA107&lt;0.000001,0,IF(AND(K107&gt;0,入力設定!$B$8="期間短縮型",AA107&lt;0.000001,F107&gt;M107*C107/12),MAX(1,MIN(E107-1,IF(C107=0,ROUNDUP(M107/F107,0),ROUNDUP(-LN(1-M107*(C107/12)/F107)/LN(1+C107/12),0)))),MAX(1,E107-1)))</f>
        <v>278</v>
      </c>
      <c r="O107" s="70">
        <f t="shared" ca="1" si="27"/>
        <v>119082.40831799689</v>
      </c>
      <c r="P107" s="70">
        <f t="shared" ca="1" si="41"/>
        <v>28333351.651250333</v>
      </c>
      <c r="Q107" s="70">
        <f ca="1">IF(OR(A107&gt;入力設定!$B$6*12,P107+AC107&lt;0.000001),0,IF(P107&lt;0.000001,Q106,IF(AE107=1,IF(C107=0,P107/MAX(1,入力設定!$B$6*12-A107+1),P107*(C107/12)/(1-(1+C107/12)^(-MAX(1,入力設定!$B$6*12-A107+1)))),Q106)))</f>
        <v>121667.61455625904</v>
      </c>
      <c r="R107" s="70">
        <f ca="1">IF(P107+AC107&lt;0.000001,0,IF(A107=入力設定!$B$6*12,P107+AB107+AC107,MIN(Q107,P107+AB107+AC107)))</f>
        <v>121667.61455625904</v>
      </c>
      <c r="S107" s="70">
        <f t="shared" ca="1" si="28"/>
        <v>59027.815940104862</v>
      </c>
      <c r="T107" s="70">
        <f t="shared" ca="1" si="29"/>
        <v>62639.798616154178</v>
      </c>
      <c r="U107" s="70">
        <f t="shared" ca="1" si="30"/>
        <v>28270711.852634177</v>
      </c>
      <c r="V107" s="70">
        <f t="shared" ca="1" si="31"/>
        <v>0</v>
      </c>
      <c r="W107" s="70">
        <f t="shared" ca="1" si="32"/>
        <v>0</v>
      </c>
      <c r="X107" s="70">
        <f t="shared" ca="1" si="33"/>
        <v>0</v>
      </c>
      <c r="Y107" s="71">
        <f t="shared" ca="1" si="34"/>
        <v>52451.378018891824</v>
      </c>
      <c r="Z107" s="71">
        <f t="shared" ca="1" si="42"/>
        <v>0</v>
      </c>
      <c r="AA107" s="71">
        <f t="shared" ca="1" si="35"/>
        <v>0</v>
      </c>
      <c r="AB107" s="71">
        <f t="shared" ca="1" si="36"/>
        <v>59027.815940104862</v>
      </c>
      <c r="AC107" s="71">
        <f t="shared" ca="1" si="43"/>
        <v>0</v>
      </c>
      <c r="AD107" s="71">
        <f t="shared" ca="1" si="37"/>
        <v>0</v>
      </c>
      <c r="AE107" s="72">
        <f t="shared" si="38"/>
        <v>0</v>
      </c>
      <c r="AF107" s="73">
        <f>IF(A107&gt;入力設定!$B$6*12,0,IF(AND(ISNUMBER(C107),C107&gt;=0,C107&lt;=1),0,1))</f>
        <v>0</v>
      </c>
    </row>
    <row r="108" spans="1:32" ht="21" customHeight="1">
      <c r="A108" s="68">
        <f>103</f>
        <v>103</v>
      </c>
      <c r="B108" s="69">
        <f>EDATE(入力設定!$B$7,A108-1)</f>
        <v>49430</v>
      </c>
      <c r="C108" s="80">
        <f>INDEX(入力設定!$C$15:$C$24,INT((A108-1)/60)+1)</f>
        <v>2.5000000000000001E-2</v>
      </c>
      <c r="D108" s="70">
        <f t="shared" ca="1" si="39"/>
        <v>25110030.418768968</v>
      </c>
      <c r="E108" s="70">
        <f t="shared" ca="1" si="40"/>
        <v>278</v>
      </c>
      <c r="F108" s="70">
        <f ca="1">IF(D108+Z108&lt;0.000001,0,IF(D108&lt;0.000001,F107,IF(OR(AE108=1,AND(K107&gt;0,入力設定!$B$8="返済額軽減型",入力設定!$B$11="翌月")),IF(C108=0,D108/MAX(1,E108),D108*(C108/12)/(1-(1+C108/12)^(-MAX(1,E108)))),F107)))</f>
        <v>119082.40831799689</v>
      </c>
      <c r="G108" s="70">
        <f t="shared" ca="1" si="22"/>
        <v>119082.40831799689</v>
      </c>
      <c r="H108" s="70">
        <f t="shared" ca="1" si="23"/>
        <v>52312.563372435347</v>
      </c>
      <c r="I108" s="70">
        <f t="shared" ca="1" si="24"/>
        <v>66769.844945561548</v>
      </c>
      <c r="J108" s="70">
        <f>SUMIFS(入力設定!$G$5:$G$24,入力設定!$F$5:$F$24,A108)</f>
        <v>0</v>
      </c>
      <c r="K108" s="70">
        <f t="shared" ca="1" si="25"/>
        <v>0</v>
      </c>
      <c r="L108" s="70">
        <f ca="1">IF(K108&gt;0,入力設定!$B$9,0)</f>
        <v>0</v>
      </c>
      <c r="M108" s="70">
        <f t="shared" ca="1" si="26"/>
        <v>25043260.573823407</v>
      </c>
      <c r="N108" s="70">
        <f ca="1">IF(M108+AA108&lt;0.000001,0,IF(AND(K108&gt;0,入力設定!$B$8="期間短縮型",AA108&lt;0.000001,F108&gt;M108*C108/12),MAX(1,MIN(E108-1,IF(C108=0,ROUNDUP(M108/F108,0),ROUNDUP(-LN(1-M108*(C108/12)/F108)/LN(1+C108/12),0)))),MAX(1,E108-1)))</f>
        <v>277</v>
      </c>
      <c r="O108" s="70">
        <f t="shared" ca="1" si="27"/>
        <v>119082.40831799689</v>
      </c>
      <c r="P108" s="70">
        <f t="shared" ca="1" si="41"/>
        <v>28270711.852634177</v>
      </c>
      <c r="Q108" s="70">
        <f ca="1">IF(OR(A108&gt;入力設定!$B$6*12,P108+AC108&lt;0.000001),0,IF(P108&lt;0.000001,Q107,IF(AE108=1,IF(C108=0,P108/MAX(1,入力設定!$B$6*12-A108+1),P108*(C108/12)/(1-(1+C108/12)^(-MAX(1,入力設定!$B$6*12-A108+1)))),Q107)))</f>
        <v>121667.61455625904</v>
      </c>
      <c r="R108" s="70">
        <f ca="1">IF(P108+AC108&lt;0.000001,0,IF(A108=入力設定!$B$6*12,P108+AB108+AC108,MIN(Q108,P108+AB108+AC108)))</f>
        <v>121667.61455625904</v>
      </c>
      <c r="S108" s="70">
        <f t="shared" ca="1" si="28"/>
        <v>58897.316359654535</v>
      </c>
      <c r="T108" s="70">
        <f t="shared" ca="1" si="29"/>
        <v>62770.298196604504</v>
      </c>
      <c r="U108" s="70">
        <f t="shared" ca="1" si="30"/>
        <v>28207941.55443757</v>
      </c>
      <c r="V108" s="70">
        <f t="shared" ca="1" si="31"/>
        <v>0</v>
      </c>
      <c r="W108" s="70">
        <f t="shared" ca="1" si="32"/>
        <v>0</v>
      </c>
      <c r="X108" s="70">
        <f t="shared" ca="1" si="33"/>
        <v>0</v>
      </c>
      <c r="Y108" s="71">
        <f t="shared" ca="1" si="34"/>
        <v>52312.563372435347</v>
      </c>
      <c r="Z108" s="71">
        <f t="shared" ca="1" si="42"/>
        <v>0</v>
      </c>
      <c r="AA108" s="71">
        <f t="shared" ca="1" si="35"/>
        <v>0</v>
      </c>
      <c r="AB108" s="71">
        <f t="shared" ca="1" si="36"/>
        <v>58897.316359654535</v>
      </c>
      <c r="AC108" s="71">
        <f t="shared" ca="1" si="43"/>
        <v>0</v>
      </c>
      <c r="AD108" s="71">
        <f t="shared" ca="1" si="37"/>
        <v>0</v>
      </c>
      <c r="AE108" s="72">
        <f t="shared" si="38"/>
        <v>0</v>
      </c>
      <c r="AF108" s="73">
        <f>IF(A108&gt;入力設定!$B$6*12,0,IF(AND(ISNUMBER(C108),C108&gt;=0,C108&lt;=1),0,1))</f>
        <v>0</v>
      </c>
    </row>
    <row r="109" spans="1:32" ht="21" customHeight="1">
      <c r="A109" s="68">
        <f>104</f>
        <v>104</v>
      </c>
      <c r="B109" s="69">
        <f>EDATE(入力設定!$B$7,A109-1)</f>
        <v>49461</v>
      </c>
      <c r="C109" s="80">
        <f>INDEX(入力設定!$C$15:$C$24,INT((A109-1)/60)+1)</f>
        <v>2.5000000000000001E-2</v>
      </c>
      <c r="D109" s="70">
        <f t="shared" ca="1" si="39"/>
        <v>25043260.573823407</v>
      </c>
      <c r="E109" s="70">
        <f t="shared" ca="1" si="40"/>
        <v>277</v>
      </c>
      <c r="F109" s="70">
        <f ca="1">IF(D109+Z109&lt;0.000001,0,IF(D109&lt;0.000001,F108,IF(OR(AE109=1,AND(K108&gt;0,入力設定!$B$8="返済額軽減型",入力設定!$B$11="翌月")),IF(C109=0,D109/MAX(1,E109),D109*(C109/12)/(1-(1+C109/12)^(-MAX(1,E109)))),F108)))</f>
        <v>119082.40831799689</v>
      </c>
      <c r="G109" s="70">
        <f t="shared" ca="1" si="22"/>
        <v>119082.40831799689</v>
      </c>
      <c r="H109" s="70">
        <f t="shared" ca="1" si="23"/>
        <v>52173.459528798769</v>
      </c>
      <c r="I109" s="70">
        <f t="shared" ca="1" si="24"/>
        <v>66908.948789198126</v>
      </c>
      <c r="J109" s="70">
        <f>SUMIFS(入力設定!$G$5:$G$24,入力設定!$F$5:$F$24,A109)</f>
        <v>0</v>
      </c>
      <c r="K109" s="70">
        <f t="shared" ca="1" si="25"/>
        <v>0</v>
      </c>
      <c r="L109" s="70">
        <f ca="1">IF(K109&gt;0,入力設定!$B$9,0)</f>
        <v>0</v>
      </c>
      <c r="M109" s="70">
        <f t="shared" ca="1" si="26"/>
        <v>24976351.625034209</v>
      </c>
      <c r="N109" s="70">
        <f ca="1">IF(M109+AA109&lt;0.000001,0,IF(AND(K109&gt;0,入力設定!$B$8="期間短縮型",AA109&lt;0.000001,F109&gt;M109*C109/12),MAX(1,MIN(E109-1,IF(C109=0,ROUNDUP(M109/F109,0),ROUNDUP(-LN(1-M109*(C109/12)/F109)/LN(1+C109/12),0)))),MAX(1,E109-1)))</f>
        <v>276</v>
      </c>
      <c r="O109" s="70">
        <f t="shared" ca="1" si="27"/>
        <v>119082.40831799689</v>
      </c>
      <c r="P109" s="70">
        <f t="shared" ca="1" si="41"/>
        <v>28207941.55443757</v>
      </c>
      <c r="Q109" s="70">
        <f ca="1">IF(OR(A109&gt;入力設定!$B$6*12,P109+AC109&lt;0.000001),0,IF(P109&lt;0.000001,Q108,IF(AE109=1,IF(C109=0,P109/MAX(1,入力設定!$B$6*12-A109+1),P109*(C109/12)/(1-(1+C109/12)^(-MAX(1,入力設定!$B$6*12-A109+1)))),Q108)))</f>
        <v>121667.61455625904</v>
      </c>
      <c r="R109" s="70">
        <f ca="1">IF(P109+AC109&lt;0.000001,0,IF(A109=入力設定!$B$6*12,P109+AB109+AC109,MIN(Q109,P109+AB109+AC109)))</f>
        <v>121667.61455625904</v>
      </c>
      <c r="S109" s="70">
        <f t="shared" ca="1" si="28"/>
        <v>58766.544905078277</v>
      </c>
      <c r="T109" s="70">
        <f t="shared" ca="1" si="29"/>
        <v>62901.069651180762</v>
      </c>
      <c r="U109" s="70">
        <f t="shared" ca="1" si="30"/>
        <v>28145040.484786391</v>
      </c>
      <c r="V109" s="70">
        <f t="shared" ca="1" si="31"/>
        <v>0</v>
      </c>
      <c r="W109" s="70">
        <f t="shared" ca="1" si="32"/>
        <v>0</v>
      </c>
      <c r="X109" s="70">
        <f t="shared" ca="1" si="33"/>
        <v>0</v>
      </c>
      <c r="Y109" s="71">
        <f t="shared" ca="1" si="34"/>
        <v>52173.459528798769</v>
      </c>
      <c r="Z109" s="71">
        <f t="shared" ca="1" si="42"/>
        <v>0</v>
      </c>
      <c r="AA109" s="71">
        <f t="shared" ca="1" si="35"/>
        <v>0</v>
      </c>
      <c r="AB109" s="71">
        <f t="shared" ca="1" si="36"/>
        <v>58766.544905078277</v>
      </c>
      <c r="AC109" s="71">
        <f t="shared" ca="1" si="43"/>
        <v>0</v>
      </c>
      <c r="AD109" s="71">
        <f t="shared" ca="1" si="37"/>
        <v>0</v>
      </c>
      <c r="AE109" s="72">
        <f t="shared" si="38"/>
        <v>0</v>
      </c>
      <c r="AF109" s="73">
        <f>IF(A109&gt;入力設定!$B$6*12,0,IF(AND(ISNUMBER(C109),C109&gt;=0,C109&lt;=1),0,1))</f>
        <v>0</v>
      </c>
    </row>
    <row r="110" spans="1:32" ht="21" customHeight="1">
      <c r="A110" s="68">
        <f>105</f>
        <v>105</v>
      </c>
      <c r="B110" s="69">
        <f>EDATE(入力設定!$B$7,A110-1)</f>
        <v>49491</v>
      </c>
      <c r="C110" s="80">
        <f>INDEX(入力設定!$C$15:$C$24,INT((A110-1)/60)+1)</f>
        <v>2.5000000000000001E-2</v>
      </c>
      <c r="D110" s="70">
        <f t="shared" ca="1" si="39"/>
        <v>24976351.625034209</v>
      </c>
      <c r="E110" s="70">
        <f t="shared" ca="1" si="40"/>
        <v>276</v>
      </c>
      <c r="F110" s="70">
        <f ca="1">IF(D110+Z110&lt;0.000001,0,IF(D110&lt;0.000001,F109,IF(OR(AE110=1,AND(K109&gt;0,入力設定!$B$8="返済額軽減型",入力設定!$B$11="翌月")),IF(C110=0,D110/MAX(1,E110),D110*(C110/12)/(1-(1+C110/12)^(-MAX(1,E110)))),F109)))</f>
        <v>119082.40831799689</v>
      </c>
      <c r="G110" s="70">
        <f t="shared" ca="1" si="22"/>
        <v>119082.40831799689</v>
      </c>
      <c r="H110" s="70">
        <f t="shared" ca="1" si="23"/>
        <v>52034.065885487937</v>
      </c>
      <c r="I110" s="70">
        <f t="shared" ca="1" si="24"/>
        <v>67048.342432508944</v>
      </c>
      <c r="J110" s="70">
        <f>SUMIFS(入力設定!$G$5:$G$24,入力設定!$F$5:$F$24,A110)</f>
        <v>0</v>
      </c>
      <c r="K110" s="70">
        <f t="shared" ca="1" si="25"/>
        <v>0</v>
      </c>
      <c r="L110" s="70">
        <f ca="1">IF(K110&gt;0,入力設定!$B$9,0)</f>
        <v>0</v>
      </c>
      <c r="M110" s="70">
        <f t="shared" ca="1" si="26"/>
        <v>24909303.282601699</v>
      </c>
      <c r="N110" s="70">
        <f ca="1">IF(M110+AA110&lt;0.000001,0,IF(AND(K110&gt;0,入力設定!$B$8="期間短縮型",AA110&lt;0.000001,F110&gt;M110*C110/12),MAX(1,MIN(E110-1,IF(C110=0,ROUNDUP(M110/F110,0),ROUNDUP(-LN(1-M110*(C110/12)/F110)/LN(1+C110/12),0)))),MAX(1,E110-1)))</f>
        <v>275</v>
      </c>
      <c r="O110" s="70">
        <f t="shared" ca="1" si="27"/>
        <v>119082.40831799689</v>
      </c>
      <c r="P110" s="70">
        <f t="shared" ca="1" si="41"/>
        <v>28145040.484786391</v>
      </c>
      <c r="Q110" s="70">
        <f ca="1">IF(OR(A110&gt;入力設定!$B$6*12,P110+AC110&lt;0.000001),0,IF(P110&lt;0.000001,Q109,IF(AE110=1,IF(C110=0,P110/MAX(1,入力設定!$B$6*12-A110+1),P110*(C110/12)/(1-(1+C110/12)^(-MAX(1,入力設定!$B$6*12-A110+1)))),Q109)))</f>
        <v>121667.61455625904</v>
      </c>
      <c r="R110" s="70">
        <f ca="1">IF(P110+AC110&lt;0.000001,0,IF(A110=入力設定!$B$6*12,P110+AB110+AC110,MIN(Q110,P110+AB110+AC110)))</f>
        <v>121667.61455625904</v>
      </c>
      <c r="S110" s="70">
        <f t="shared" ca="1" si="28"/>
        <v>58635.501009971653</v>
      </c>
      <c r="T110" s="70">
        <f t="shared" ca="1" si="29"/>
        <v>63032.113546287386</v>
      </c>
      <c r="U110" s="70">
        <f t="shared" ca="1" si="30"/>
        <v>28082008.371240105</v>
      </c>
      <c r="V110" s="70">
        <f t="shared" ca="1" si="31"/>
        <v>0</v>
      </c>
      <c r="W110" s="70">
        <f t="shared" ca="1" si="32"/>
        <v>0</v>
      </c>
      <c r="X110" s="70">
        <f t="shared" ca="1" si="33"/>
        <v>0</v>
      </c>
      <c r="Y110" s="71">
        <f t="shared" ca="1" si="34"/>
        <v>52034.065885487937</v>
      </c>
      <c r="Z110" s="71">
        <f t="shared" ca="1" si="42"/>
        <v>0</v>
      </c>
      <c r="AA110" s="71">
        <f t="shared" ca="1" si="35"/>
        <v>0</v>
      </c>
      <c r="AB110" s="71">
        <f t="shared" ca="1" si="36"/>
        <v>58635.501009971653</v>
      </c>
      <c r="AC110" s="71">
        <f t="shared" ca="1" si="43"/>
        <v>0</v>
      </c>
      <c r="AD110" s="71">
        <f t="shared" ca="1" si="37"/>
        <v>0</v>
      </c>
      <c r="AE110" s="72">
        <f t="shared" si="38"/>
        <v>0</v>
      </c>
      <c r="AF110" s="73">
        <f>IF(A110&gt;入力設定!$B$6*12,0,IF(AND(ISNUMBER(C110),C110&gt;=0,C110&lt;=1),0,1))</f>
        <v>0</v>
      </c>
    </row>
    <row r="111" spans="1:32" ht="21" customHeight="1">
      <c r="A111" s="68">
        <f>106</f>
        <v>106</v>
      </c>
      <c r="B111" s="69">
        <f>EDATE(入力設定!$B$7,A111-1)</f>
        <v>49522</v>
      </c>
      <c r="C111" s="80">
        <f>INDEX(入力設定!$C$15:$C$24,INT((A111-1)/60)+1)</f>
        <v>2.5000000000000001E-2</v>
      </c>
      <c r="D111" s="70">
        <f t="shared" ca="1" si="39"/>
        <v>24909303.282601699</v>
      </c>
      <c r="E111" s="70">
        <f t="shared" ca="1" si="40"/>
        <v>275</v>
      </c>
      <c r="F111" s="70">
        <f ca="1">IF(D111+Z111&lt;0.000001,0,IF(D111&lt;0.000001,F110,IF(OR(AE111=1,AND(K110&gt;0,入力設定!$B$8="返済額軽減型",入力設定!$B$11="翌月")),IF(C111=0,D111/MAX(1,E111),D111*(C111/12)/(1-(1+C111/12)^(-MAX(1,E111)))),F110)))</f>
        <v>119082.40831799689</v>
      </c>
      <c r="G111" s="70">
        <f t="shared" ca="1" si="22"/>
        <v>119082.40831799689</v>
      </c>
      <c r="H111" s="70">
        <f t="shared" ca="1" si="23"/>
        <v>51894.381838753536</v>
      </c>
      <c r="I111" s="70">
        <f t="shared" ca="1" si="24"/>
        <v>67188.026479243359</v>
      </c>
      <c r="J111" s="70">
        <f>SUMIFS(入力設定!$G$5:$G$24,入力設定!$F$5:$F$24,A111)</f>
        <v>0</v>
      </c>
      <c r="K111" s="70">
        <f t="shared" ca="1" si="25"/>
        <v>0</v>
      </c>
      <c r="L111" s="70">
        <f ca="1">IF(K111&gt;0,入力設定!$B$9,0)</f>
        <v>0</v>
      </c>
      <c r="M111" s="70">
        <f t="shared" ca="1" si="26"/>
        <v>24842115.256122455</v>
      </c>
      <c r="N111" s="70">
        <f ca="1">IF(M111+AA111&lt;0.000001,0,IF(AND(K111&gt;0,入力設定!$B$8="期間短縮型",AA111&lt;0.000001,F111&gt;M111*C111/12),MAX(1,MIN(E111-1,IF(C111=0,ROUNDUP(M111/F111,0),ROUNDUP(-LN(1-M111*(C111/12)/F111)/LN(1+C111/12),0)))),MAX(1,E111-1)))</f>
        <v>274</v>
      </c>
      <c r="O111" s="70">
        <f t="shared" ca="1" si="27"/>
        <v>119082.40831799689</v>
      </c>
      <c r="P111" s="70">
        <f t="shared" ca="1" si="41"/>
        <v>28082008.371240105</v>
      </c>
      <c r="Q111" s="70">
        <f ca="1">IF(OR(A111&gt;入力設定!$B$6*12,P111+AC111&lt;0.000001),0,IF(P111&lt;0.000001,Q110,IF(AE111=1,IF(C111=0,P111/MAX(1,入力設定!$B$6*12-A111+1),P111*(C111/12)/(1-(1+C111/12)^(-MAX(1,入力設定!$B$6*12-A111+1)))),Q110)))</f>
        <v>121667.61455625904</v>
      </c>
      <c r="R111" s="70">
        <f ca="1">IF(P111+AC111&lt;0.000001,0,IF(A111=入力設定!$B$6*12,P111+AB111+AC111,MIN(Q111,P111+AB111+AC111)))</f>
        <v>121667.61455625904</v>
      </c>
      <c r="S111" s="70">
        <f t="shared" ca="1" si="28"/>
        <v>58504.184106750217</v>
      </c>
      <c r="T111" s="70">
        <f t="shared" ca="1" si="29"/>
        <v>63163.430449508822</v>
      </c>
      <c r="U111" s="70">
        <f t="shared" ca="1" si="30"/>
        <v>28018844.940790597</v>
      </c>
      <c r="V111" s="70">
        <f t="shared" ca="1" si="31"/>
        <v>0</v>
      </c>
      <c r="W111" s="70">
        <f t="shared" ca="1" si="32"/>
        <v>0</v>
      </c>
      <c r="X111" s="70">
        <f t="shared" ca="1" si="33"/>
        <v>0</v>
      </c>
      <c r="Y111" s="71">
        <f t="shared" ca="1" si="34"/>
        <v>51894.381838753536</v>
      </c>
      <c r="Z111" s="71">
        <f t="shared" ca="1" si="42"/>
        <v>0</v>
      </c>
      <c r="AA111" s="71">
        <f t="shared" ca="1" si="35"/>
        <v>0</v>
      </c>
      <c r="AB111" s="71">
        <f t="shared" ca="1" si="36"/>
        <v>58504.184106750217</v>
      </c>
      <c r="AC111" s="71">
        <f t="shared" ca="1" si="43"/>
        <v>0</v>
      </c>
      <c r="AD111" s="71">
        <f t="shared" ca="1" si="37"/>
        <v>0</v>
      </c>
      <c r="AE111" s="72">
        <f t="shared" si="38"/>
        <v>0</v>
      </c>
      <c r="AF111" s="73">
        <f>IF(A111&gt;入力設定!$B$6*12,0,IF(AND(ISNUMBER(C111),C111&gt;=0,C111&lt;=1),0,1))</f>
        <v>0</v>
      </c>
    </row>
    <row r="112" spans="1:32" ht="21" customHeight="1">
      <c r="A112" s="68">
        <f>107</f>
        <v>107</v>
      </c>
      <c r="B112" s="69">
        <f>EDATE(入力設定!$B$7,A112-1)</f>
        <v>49553</v>
      </c>
      <c r="C112" s="80">
        <f>INDEX(入力設定!$C$15:$C$24,INT((A112-1)/60)+1)</f>
        <v>2.5000000000000001E-2</v>
      </c>
      <c r="D112" s="70">
        <f t="shared" ca="1" si="39"/>
        <v>24842115.256122455</v>
      </c>
      <c r="E112" s="70">
        <f t="shared" ca="1" si="40"/>
        <v>274</v>
      </c>
      <c r="F112" s="70">
        <f ca="1">IF(D112+Z112&lt;0.000001,0,IF(D112&lt;0.000001,F111,IF(OR(AE112=1,AND(K111&gt;0,入力設定!$B$8="返済額軽減型",入力設定!$B$11="翌月")),IF(C112=0,D112/MAX(1,E112),D112*(C112/12)/(1-(1+C112/12)^(-MAX(1,E112)))),F111)))</f>
        <v>119082.40831799689</v>
      </c>
      <c r="G112" s="70">
        <f t="shared" ca="1" si="22"/>
        <v>119082.40831799689</v>
      </c>
      <c r="H112" s="70">
        <f t="shared" ca="1" si="23"/>
        <v>51754.406783588456</v>
      </c>
      <c r="I112" s="70">
        <f t="shared" ca="1" si="24"/>
        <v>67328.001534408424</v>
      </c>
      <c r="J112" s="70">
        <f>SUMIFS(入力設定!$G$5:$G$24,入力設定!$F$5:$F$24,A112)</f>
        <v>0</v>
      </c>
      <c r="K112" s="70">
        <f t="shared" ca="1" si="25"/>
        <v>0</v>
      </c>
      <c r="L112" s="70">
        <f ca="1">IF(K112&gt;0,入力設定!$B$9,0)</f>
        <v>0</v>
      </c>
      <c r="M112" s="70">
        <f t="shared" ca="1" si="26"/>
        <v>24774787.254588045</v>
      </c>
      <c r="N112" s="70">
        <f ca="1">IF(M112+AA112&lt;0.000001,0,IF(AND(K112&gt;0,入力設定!$B$8="期間短縮型",AA112&lt;0.000001,F112&gt;M112*C112/12),MAX(1,MIN(E112-1,IF(C112=0,ROUNDUP(M112/F112,0),ROUNDUP(-LN(1-M112*(C112/12)/F112)/LN(1+C112/12),0)))),MAX(1,E112-1)))</f>
        <v>273</v>
      </c>
      <c r="O112" s="70">
        <f t="shared" ca="1" si="27"/>
        <v>119082.40831799689</v>
      </c>
      <c r="P112" s="70">
        <f t="shared" ca="1" si="41"/>
        <v>28018844.940790597</v>
      </c>
      <c r="Q112" s="70">
        <f ca="1">IF(OR(A112&gt;入力設定!$B$6*12,P112+AC112&lt;0.000001),0,IF(P112&lt;0.000001,Q111,IF(AE112=1,IF(C112=0,P112/MAX(1,入力設定!$B$6*12-A112+1),P112*(C112/12)/(1-(1+C112/12)^(-MAX(1,入力設定!$B$6*12-A112+1)))),Q111)))</f>
        <v>121667.61455625904</v>
      </c>
      <c r="R112" s="70">
        <f ca="1">IF(P112+AC112&lt;0.000001,0,IF(A112=入力設定!$B$6*12,P112+AB112+AC112,MIN(Q112,P112+AB112+AC112)))</f>
        <v>121667.61455625904</v>
      </c>
      <c r="S112" s="70">
        <f t="shared" ca="1" si="28"/>
        <v>58372.593626647082</v>
      </c>
      <c r="T112" s="70">
        <f t="shared" ca="1" si="29"/>
        <v>63295.020929611957</v>
      </c>
      <c r="U112" s="70">
        <f t="shared" ca="1" si="30"/>
        <v>27955549.919860985</v>
      </c>
      <c r="V112" s="70">
        <f t="shared" ca="1" si="31"/>
        <v>0</v>
      </c>
      <c r="W112" s="70">
        <f t="shared" ca="1" si="32"/>
        <v>0</v>
      </c>
      <c r="X112" s="70">
        <f t="shared" ca="1" si="33"/>
        <v>0</v>
      </c>
      <c r="Y112" s="71">
        <f t="shared" ca="1" si="34"/>
        <v>51754.406783588456</v>
      </c>
      <c r="Z112" s="71">
        <f t="shared" ca="1" si="42"/>
        <v>0</v>
      </c>
      <c r="AA112" s="71">
        <f t="shared" ca="1" si="35"/>
        <v>0</v>
      </c>
      <c r="AB112" s="71">
        <f t="shared" ca="1" si="36"/>
        <v>58372.593626647082</v>
      </c>
      <c r="AC112" s="71">
        <f t="shared" ca="1" si="43"/>
        <v>0</v>
      </c>
      <c r="AD112" s="71">
        <f t="shared" ca="1" si="37"/>
        <v>0</v>
      </c>
      <c r="AE112" s="72">
        <f t="shared" si="38"/>
        <v>0</v>
      </c>
      <c r="AF112" s="73">
        <f>IF(A112&gt;入力設定!$B$6*12,0,IF(AND(ISNUMBER(C112),C112&gt;=0,C112&lt;=1),0,1))</f>
        <v>0</v>
      </c>
    </row>
    <row r="113" spans="1:32" ht="21" customHeight="1">
      <c r="A113" s="68">
        <f>108</f>
        <v>108</v>
      </c>
      <c r="B113" s="69">
        <f>EDATE(入力設定!$B$7,A113-1)</f>
        <v>49583</v>
      </c>
      <c r="C113" s="80">
        <f>INDEX(入力設定!$C$15:$C$24,INT((A113-1)/60)+1)</f>
        <v>2.5000000000000001E-2</v>
      </c>
      <c r="D113" s="70">
        <f t="shared" ca="1" si="39"/>
        <v>24774787.254588045</v>
      </c>
      <c r="E113" s="70">
        <f t="shared" ca="1" si="40"/>
        <v>273</v>
      </c>
      <c r="F113" s="70">
        <f ca="1">IF(D113+Z113&lt;0.000001,0,IF(D113&lt;0.000001,F112,IF(OR(AE113=1,AND(K112&gt;0,入力設定!$B$8="返済額軽減型",入力設定!$B$11="翌月")),IF(C113=0,D113/MAX(1,E113),D113*(C113/12)/(1-(1+C113/12)^(-MAX(1,E113)))),F112)))</f>
        <v>119082.40831799689</v>
      </c>
      <c r="G113" s="70">
        <f t="shared" ca="1" si="22"/>
        <v>119082.40831799689</v>
      </c>
      <c r="H113" s="70">
        <f t="shared" ca="1" si="23"/>
        <v>51614.140113725094</v>
      </c>
      <c r="I113" s="70">
        <f t="shared" ca="1" si="24"/>
        <v>67468.268204271793</v>
      </c>
      <c r="J113" s="70">
        <f>SUMIFS(入力設定!$G$5:$G$24,入力設定!$F$5:$F$24,A113)</f>
        <v>0</v>
      </c>
      <c r="K113" s="70">
        <f t="shared" ca="1" si="25"/>
        <v>0</v>
      </c>
      <c r="L113" s="70">
        <f ca="1">IF(K113&gt;0,入力設定!$B$9,0)</f>
        <v>0</v>
      </c>
      <c r="M113" s="70">
        <f t="shared" ca="1" si="26"/>
        <v>24707318.986383773</v>
      </c>
      <c r="N113" s="70">
        <f ca="1">IF(M113+AA113&lt;0.000001,0,IF(AND(K113&gt;0,入力設定!$B$8="期間短縮型",AA113&lt;0.000001,F113&gt;M113*C113/12),MAX(1,MIN(E113-1,IF(C113=0,ROUNDUP(M113/F113,0),ROUNDUP(-LN(1-M113*(C113/12)/F113)/LN(1+C113/12),0)))),MAX(1,E113-1)))</f>
        <v>272</v>
      </c>
      <c r="O113" s="70">
        <f t="shared" ca="1" si="27"/>
        <v>119082.40831799689</v>
      </c>
      <c r="P113" s="70">
        <f t="shared" ca="1" si="41"/>
        <v>27955549.919860985</v>
      </c>
      <c r="Q113" s="70">
        <f ca="1">IF(OR(A113&gt;入力設定!$B$6*12,P113+AC113&lt;0.000001),0,IF(P113&lt;0.000001,Q112,IF(AE113=1,IF(C113=0,P113/MAX(1,入力設定!$B$6*12-A113+1),P113*(C113/12)/(1-(1+C113/12)^(-MAX(1,入力設定!$B$6*12-A113+1)))),Q112)))</f>
        <v>121667.61455625904</v>
      </c>
      <c r="R113" s="70">
        <f ca="1">IF(P113+AC113&lt;0.000001,0,IF(A113=入力設定!$B$6*12,P113+AB113+AC113,MIN(Q113,P113+AB113+AC113)))</f>
        <v>121667.61455625904</v>
      </c>
      <c r="S113" s="70">
        <f t="shared" ca="1" si="28"/>
        <v>58240.728999710387</v>
      </c>
      <c r="T113" s="70">
        <f t="shared" ca="1" si="29"/>
        <v>63426.885556548652</v>
      </c>
      <c r="U113" s="70">
        <f t="shared" ca="1" si="30"/>
        <v>27892123.034304436</v>
      </c>
      <c r="V113" s="70">
        <f t="shared" ca="1" si="31"/>
        <v>0</v>
      </c>
      <c r="W113" s="70">
        <f t="shared" ca="1" si="32"/>
        <v>0</v>
      </c>
      <c r="X113" s="70">
        <f t="shared" ca="1" si="33"/>
        <v>0</v>
      </c>
      <c r="Y113" s="71">
        <f t="shared" ca="1" si="34"/>
        <v>51614.140113725094</v>
      </c>
      <c r="Z113" s="71">
        <f t="shared" ca="1" si="42"/>
        <v>0</v>
      </c>
      <c r="AA113" s="71">
        <f t="shared" ca="1" si="35"/>
        <v>0</v>
      </c>
      <c r="AB113" s="71">
        <f t="shared" ca="1" si="36"/>
        <v>58240.728999710387</v>
      </c>
      <c r="AC113" s="71">
        <f t="shared" ca="1" si="43"/>
        <v>0</v>
      </c>
      <c r="AD113" s="71">
        <f t="shared" ca="1" si="37"/>
        <v>0</v>
      </c>
      <c r="AE113" s="72">
        <f t="shared" si="38"/>
        <v>0</v>
      </c>
      <c r="AF113" s="73">
        <f>IF(A113&gt;入力設定!$B$6*12,0,IF(AND(ISNUMBER(C113),C113&gt;=0,C113&lt;=1),0,1))</f>
        <v>0</v>
      </c>
    </row>
    <row r="114" spans="1:32" ht="21" customHeight="1">
      <c r="A114" s="68">
        <f>109</f>
        <v>109</v>
      </c>
      <c r="B114" s="69">
        <f>EDATE(入力設定!$B$7,A114-1)</f>
        <v>49614</v>
      </c>
      <c r="C114" s="80">
        <f>INDEX(入力設定!$C$15:$C$24,INT((A114-1)/60)+1)</f>
        <v>2.5000000000000001E-2</v>
      </c>
      <c r="D114" s="70">
        <f t="shared" ca="1" si="39"/>
        <v>24707318.986383773</v>
      </c>
      <c r="E114" s="70">
        <f t="shared" ca="1" si="40"/>
        <v>272</v>
      </c>
      <c r="F114" s="70">
        <f ca="1">IF(D114+Z114&lt;0.000001,0,IF(D114&lt;0.000001,F113,IF(OR(AE114=1,AND(K113&gt;0,入力設定!$B$8="返済額軽減型",入力設定!$B$11="翌月")),IF(C114=0,D114/MAX(1,E114),D114*(C114/12)/(1-(1+C114/12)^(-MAX(1,E114)))),F113)))</f>
        <v>119082.40831799689</v>
      </c>
      <c r="G114" s="70">
        <f t="shared" ca="1" si="22"/>
        <v>119082.40831799689</v>
      </c>
      <c r="H114" s="70">
        <f t="shared" ca="1" si="23"/>
        <v>51473.581221632863</v>
      </c>
      <c r="I114" s="70">
        <f t="shared" ca="1" si="24"/>
        <v>67608.827096364024</v>
      </c>
      <c r="J114" s="70">
        <f>SUMIFS(入力設定!$G$5:$G$24,入力設定!$F$5:$F$24,A114)</f>
        <v>0</v>
      </c>
      <c r="K114" s="70">
        <f t="shared" ca="1" si="25"/>
        <v>0</v>
      </c>
      <c r="L114" s="70">
        <f ca="1">IF(K114&gt;0,入力設定!$B$9,0)</f>
        <v>0</v>
      </c>
      <c r="M114" s="70">
        <f t="shared" ca="1" si="26"/>
        <v>24639710.159287408</v>
      </c>
      <c r="N114" s="70">
        <f ca="1">IF(M114+AA114&lt;0.000001,0,IF(AND(K114&gt;0,入力設定!$B$8="期間短縮型",AA114&lt;0.000001,F114&gt;M114*C114/12),MAX(1,MIN(E114-1,IF(C114=0,ROUNDUP(M114/F114,0),ROUNDUP(-LN(1-M114*(C114/12)/F114)/LN(1+C114/12),0)))),MAX(1,E114-1)))</f>
        <v>271</v>
      </c>
      <c r="O114" s="70">
        <f t="shared" ca="1" si="27"/>
        <v>119082.40831799689</v>
      </c>
      <c r="P114" s="70">
        <f t="shared" ca="1" si="41"/>
        <v>27892123.034304436</v>
      </c>
      <c r="Q114" s="70">
        <f ca="1">IF(OR(A114&gt;入力設定!$B$6*12,P114+AC114&lt;0.000001),0,IF(P114&lt;0.000001,Q113,IF(AE114=1,IF(C114=0,P114/MAX(1,入力設定!$B$6*12-A114+1),P114*(C114/12)/(1-(1+C114/12)^(-MAX(1,入力設定!$B$6*12-A114+1)))),Q113)))</f>
        <v>121667.61455625904</v>
      </c>
      <c r="R114" s="70">
        <f ca="1">IF(P114+AC114&lt;0.000001,0,IF(A114=入力設定!$B$6*12,P114+AB114+AC114,MIN(Q114,P114+AB114+AC114)))</f>
        <v>121667.61455625904</v>
      </c>
      <c r="S114" s="70">
        <f t="shared" ca="1" si="28"/>
        <v>58108.589654800911</v>
      </c>
      <c r="T114" s="70">
        <f t="shared" ca="1" si="29"/>
        <v>63559.024901458128</v>
      </c>
      <c r="U114" s="70">
        <f t="shared" ca="1" si="30"/>
        <v>27828564.009402979</v>
      </c>
      <c r="V114" s="70">
        <f t="shared" ca="1" si="31"/>
        <v>0</v>
      </c>
      <c r="W114" s="70">
        <f t="shared" ca="1" si="32"/>
        <v>0</v>
      </c>
      <c r="X114" s="70">
        <f t="shared" ca="1" si="33"/>
        <v>0</v>
      </c>
      <c r="Y114" s="71">
        <f t="shared" ca="1" si="34"/>
        <v>51473.581221632863</v>
      </c>
      <c r="Z114" s="71">
        <f t="shared" ca="1" si="42"/>
        <v>0</v>
      </c>
      <c r="AA114" s="71">
        <f t="shared" ca="1" si="35"/>
        <v>0</v>
      </c>
      <c r="AB114" s="71">
        <f t="shared" ca="1" si="36"/>
        <v>58108.589654800911</v>
      </c>
      <c r="AC114" s="71">
        <f t="shared" ca="1" si="43"/>
        <v>0</v>
      </c>
      <c r="AD114" s="71">
        <f t="shared" ca="1" si="37"/>
        <v>0</v>
      </c>
      <c r="AE114" s="72">
        <f t="shared" si="38"/>
        <v>0</v>
      </c>
      <c r="AF114" s="73">
        <f>IF(A114&gt;入力設定!$B$6*12,0,IF(AND(ISNUMBER(C114),C114&gt;=0,C114&lt;=1),0,1))</f>
        <v>0</v>
      </c>
    </row>
    <row r="115" spans="1:32" ht="21" customHeight="1">
      <c r="A115" s="68">
        <f>110</f>
        <v>110</v>
      </c>
      <c r="B115" s="69">
        <f>EDATE(入力設定!$B$7,A115-1)</f>
        <v>49644</v>
      </c>
      <c r="C115" s="80">
        <f>INDEX(入力設定!$C$15:$C$24,INT((A115-1)/60)+1)</f>
        <v>2.5000000000000001E-2</v>
      </c>
      <c r="D115" s="70">
        <f t="shared" ca="1" si="39"/>
        <v>24639710.159287408</v>
      </c>
      <c r="E115" s="70">
        <f t="shared" ca="1" si="40"/>
        <v>271</v>
      </c>
      <c r="F115" s="70">
        <f ca="1">IF(D115+Z115&lt;0.000001,0,IF(D115&lt;0.000001,F114,IF(OR(AE115=1,AND(K114&gt;0,入力設定!$B$8="返済額軽減型",入力設定!$B$11="翌月")),IF(C115=0,D115/MAX(1,E115),D115*(C115/12)/(1-(1+C115/12)^(-MAX(1,E115)))),F114)))</f>
        <v>119082.40831799689</v>
      </c>
      <c r="G115" s="70">
        <f t="shared" ca="1" si="22"/>
        <v>119082.40831799689</v>
      </c>
      <c r="H115" s="70">
        <f t="shared" ca="1" si="23"/>
        <v>51332.729498515437</v>
      </c>
      <c r="I115" s="70">
        <f t="shared" ca="1" si="24"/>
        <v>67749.678819481458</v>
      </c>
      <c r="J115" s="70">
        <f>SUMIFS(入力設定!$G$5:$G$24,入力設定!$F$5:$F$24,A115)</f>
        <v>0</v>
      </c>
      <c r="K115" s="70">
        <f t="shared" ca="1" si="25"/>
        <v>0</v>
      </c>
      <c r="L115" s="70">
        <f ca="1">IF(K115&gt;0,入力設定!$B$9,0)</f>
        <v>0</v>
      </c>
      <c r="M115" s="70">
        <f t="shared" ca="1" si="26"/>
        <v>24571960.480467927</v>
      </c>
      <c r="N115" s="70">
        <f ca="1">IF(M115+AA115&lt;0.000001,0,IF(AND(K115&gt;0,入力設定!$B$8="期間短縮型",AA115&lt;0.000001,F115&gt;M115*C115/12),MAX(1,MIN(E115-1,IF(C115=0,ROUNDUP(M115/F115,0),ROUNDUP(-LN(1-M115*(C115/12)/F115)/LN(1+C115/12),0)))),MAX(1,E115-1)))</f>
        <v>270</v>
      </c>
      <c r="O115" s="70">
        <f t="shared" ca="1" si="27"/>
        <v>119082.40831799689</v>
      </c>
      <c r="P115" s="70">
        <f t="shared" ca="1" si="41"/>
        <v>27828564.009402979</v>
      </c>
      <c r="Q115" s="70">
        <f ca="1">IF(OR(A115&gt;入力設定!$B$6*12,P115+AC115&lt;0.000001),0,IF(P115&lt;0.000001,Q114,IF(AE115=1,IF(C115=0,P115/MAX(1,入力設定!$B$6*12-A115+1),P115*(C115/12)/(1-(1+C115/12)^(-MAX(1,入力設定!$B$6*12-A115+1)))),Q114)))</f>
        <v>121667.61455625904</v>
      </c>
      <c r="R115" s="70">
        <f ca="1">IF(P115+AC115&lt;0.000001,0,IF(A115=入力設定!$B$6*12,P115+AB115+AC115,MIN(Q115,P115+AB115+AC115)))</f>
        <v>121667.61455625904</v>
      </c>
      <c r="S115" s="70">
        <f t="shared" ca="1" si="28"/>
        <v>57976.175019589544</v>
      </c>
      <c r="T115" s="70">
        <f t="shared" ca="1" si="29"/>
        <v>63691.439536669495</v>
      </c>
      <c r="U115" s="70">
        <f t="shared" ca="1" si="30"/>
        <v>27764872.569866311</v>
      </c>
      <c r="V115" s="70">
        <f t="shared" ca="1" si="31"/>
        <v>0</v>
      </c>
      <c r="W115" s="70">
        <f t="shared" ca="1" si="32"/>
        <v>0</v>
      </c>
      <c r="X115" s="70">
        <f t="shared" ca="1" si="33"/>
        <v>0</v>
      </c>
      <c r="Y115" s="71">
        <f t="shared" ca="1" si="34"/>
        <v>51332.729498515437</v>
      </c>
      <c r="Z115" s="71">
        <f t="shared" ca="1" si="42"/>
        <v>0</v>
      </c>
      <c r="AA115" s="71">
        <f t="shared" ca="1" si="35"/>
        <v>0</v>
      </c>
      <c r="AB115" s="71">
        <f t="shared" ca="1" si="36"/>
        <v>57976.175019589544</v>
      </c>
      <c r="AC115" s="71">
        <f t="shared" ca="1" si="43"/>
        <v>0</v>
      </c>
      <c r="AD115" s="71">
        <f t="shared" ca="1" si="37"/>
        <v>0</v>
      </c>
      <c r="AE115" s="72">
        <f t="shared" si="38"/>
        <v>0</v>
      </c>
      <c r="AF115" s="73">
        <f>IF(A115&gt;入力設定!$B$6*12,0,IF(AND(ISNUMBER(C115),C115&gt;=0,C115&lt;=1),0,1))</f>
        <v>0</v>
      </c>
    </row>
    <row r="116" spans="1:32" ht="21" customHeight="1">
      <c r="A116" s="68">
        <f>111</f>
        <v>111</v>
      </c>
      <c r="B116" s="69">
        <f>EDATE(入力設定!$B$7,A116-1)</f>
        <v>49675</v>
      </c>
      <c r="C116" s="80">
        <f>INDEX(入力設定!$C$15:$C$24,INT((A116-1)/60)+1)</f>
        <v>2.5000000000000001E-2</v>
      </c>
      <c r="D116" s="70">
        <f t="shared" ca="1" si="39"/>
        <v>24571960.480467927</v>
      </c>
      <c r="E116" s="70">
        <f t="shared" ca="1" si="40"/>
        <v>270</v>
      </c>
      <c r="F116" s="70">
        <f ca="1">IF(D116+Z116&lt;0.000001,0,IF(D116&lt;0.000001,F115,IF(OR(AE116=1,AND(K115&gt;0,入力設定!$B$8="返済額軽減型",入力設定!$B$11="翌月")),IF(C116=0,D116/MAX(1,E116),D116*(C116/12)/(1-(1+C116/12)^(-MAX(1,E116)))),F115)))</f>
        <v>119082.40831799689</v>
      </c>
      <c r="G116" s="70">
        <f t="shared" ca="1" si="22"/>
        <v>119082.40831799689</v>
      </c>
      <c r="H116" s="70">
        <f t="shared" ca="1" si="23"/>
        <v>51191.584334308187</v>
      </c>
      <c r="I116" s="70">
        <f t="shared" ca="1" si="24"/>
        <v>67890.823983688693</v>
      </c>
      <c r="J116" s="70">
        <f>SUMIFS(入力設定!$G$5:$G$24,入力設定!$F$5:$F$24,A116)</f>
        <v>0</v>
      </c>
      <c r="K116" s="70">
        <f t="shared" ca="1" si="25"/>
        <v>0</v>
      </c>
      <c r="L116" s="70">
        <f ca="1">IF(K116&gt;0,入力設定!$B$9,0)</f>
        <v>0</v>
      </c>
      <c r="M116" s="70">
        <f t="shared" ca="1" si="26"/>
        <v>24504069.656484239</v>
      </c>
      <c r="N116" s="70">
        <f ca="1">IF(M116+AA116&lt;0.000001,0,IF(AND(K116&gt;0,入力設定!$B$8="期間短縮型",AA116&lt;0.000001,F116&gt;M116*C116/12),MAX(1,MIN(E116-1,IF(C116=0,ROUNDUP(M116/F116,0),ROUNDUP(-LN(1-M116*(C116/12)/F116)/LN(1+C116/12),0)))),MAX(1,E116-1)))</f>
        <v>269</v>
      </c>
      <c r="O116" s="70">
        <f t="shared" ca="1" si="27"/>
        <v>119082.40831799689</v>
      </c>
      <c r="P116" s="70">
        <f t="shared" ca="1" si="41"/>
        <v>27764872.569866311</v>
      </c>
      <c r="Q116" s="70">
        <f ca="1">IF(OR(A116&gt;入力設定!$B$6*12,P116+AC116&lt;0.000001),0,IF(P116&lt;0.000001,Q115,IF(AE116=1,IF(C116=0,P116/MAX(1,入力設定!$B$6*12-A116+1),P116*(C116/12)/(1-(1+C116/12)^(-MAX(1,入力設定!$B$6*12-A116+1)))),Q115)))</f>
        <v>121667.61455625904</v>
      </c>
      <c r="R116" s="70">
        <f ca="1">IF(P116+AC116&lt;0.000001,0,IF(A116=入力設定!$B$6*12,P116+AB116+AC116,MIN(Q116,P116+AB116+AC116)))</f>
        <v>121667.61455625904</v>
      </c>
      <c r="S116" s="70">
        <f t="shared" ca="1" si="28"/>
        <v>57843.484520554812</v>
      </c>
      <c r="T116" s="70">
        <f t="shared" ca="1" si="29"/>
        <v>63824.130035704227</v>
      </c>
      <c r="U116" s="70">
        <f t="shared" ca="1" si="30"/>
        <v>27701048.439830605</v>
      </c>
      <c r="V116" s="70">
        <f t="shared" ca="1" si="31"/>
        <v>0</v>
      </c>
      <c r="W116" s="70">
        <f t="shared" ca="1" si="32"/>
        <v>0</v>
      </c>
      <c r="X116" s="70">
        <f t="shared" ca="1" si="33"/>
        <v>0</v>
      </c>
      <c r="Y116" s="71">
        <f t="shared" ca="1" si="34"/>
        <v>51191.584334308187</v>
      </c>
      <c r="Z116" s="71">
        <f t="shared" ca="1" si="42"/>
        <v>0</v>
      </c>
      <c r="AA116" s="71">
        <f t="shared" ca="1" si="35"/>
        <v>0</v>
      </c>
      <c r="AB116" s="71">
        <f t="shared" ca="1" si="36"/>
        <v>57843.484520554812</v>
      </c>
      <c r="AC116" s="71">
        <f t="shared" ca="1" si="43"/>
        <v>0</v>
      </c>
      <c r="AD116" s="71">
        <f t="shared" ca="1" si="37"/>
        <v>0</v>
      </c>
      <c r="AE116" s="72">
        <f t="shared" si="38"/>
        <v>0</v>
      </c>
      <c r="AF116" s="73">
        <f>IF(A116&gt;入力設定!$B$6*12,0,IF(AND(ISNUMBER(C116),C116&gt;=0,C116&lt;=1),0,1))</f>
        <v>0</v>
      </c>
    </row>
    <row r="117" spans="1:32" ht="21" customHeight="1">
      <c r="A117" s="68">
        <f>112</f>
        <v>112</v>
      </c>
      <c r="B117" s="69">
        <f>EDATE(入力設定!$B$7,A117-1)</f>
        <v>49706</v>
      </c>
      <c r="C117" s="80">
        <f>INDEX(入力設定!$C$15:$C$24,INT((A117-1)/60)+1)</f>
        <v>2.5000000000000001E-2</v>
      </c>
      <c r="D117" s="70">
        <f t="shared" ca="1" si="39"/>
        <v>24504069.656484239</v>
      </c>
      <c r="E117" s="70">
        <f t="shared" ca="1" si="40"/>
        <v>269</v>
      </c>
      <c r="F117" s="70">
        <f ca="1">IF(D117+Z117&lt;0.000001,0,IF(D117&lt;0.000001,F116,IF(OR(AE117=1,AND(K116&gt;0,入力設定!$B$8="返済額軽減型",入力設定!$B$11="翌月")),IF(C117=0,D117/MAX(1,E117),D117*(C117/12)/(1-(1+C117/12)^(-MAX(1,E117)))),F116)))</f>
        <v>119082.40831799689</v>
      </c>
      <c r="G117" s="70">
        <f t="shared" ca="1" si="22"/>
        <v>119082.40831799689</v>
      </c>
      <c r="H117" s="70">
        <f t="shared" ca="1" si="23"/>
        <v>51050.1451176755</v>
      </c>
      <c r="I117" s="70">
        <f t="shared" ca="1" si="24"/>
        <v>68032.26320032138</v>
      </c>
      <c r="J117" s="70">
        <f>SUMIFS(入力設定!$G$5:$G$24,入力設定!$F$5:$F$24,A117)</f>
        <v>0</v>
      </c>
      <c r="K117" s="70">
        <f t="shared" ca="1" si="25"/>
        <v>0</v>
      </c>
      <c r="L117" s="70">
        <f ca="1">IF(K117&gt;0,入力設定!$B$9,0)</f>
        <v>0</v>
      </c>
      <c r="M117" s="70">
        <f t="shared" ca="1" si="26"/>
        <v>24436037.393283918</v>
      </c>
      <c r="N117" s="70">
        <f ca="1">IF(M117+AA117&lt;0.000001,0,IF(AND(K117&gt;0,入力設定!$B$8="期間短縮型",AA117&lt;0.000001,F117&gt;M117*C117/12),MAX(1,MIN(E117-1,IF(C117=0,ROUNDUP(M117/F117,0),ROUNDUP(-LN(1-M117*(C117/12)/F117)/LN(1+C117/12),0)))),MAX(1,E117-1)))</f>
        <v>268</v>
      </c>
      <c r="O117" s="70">
        <f t="shared" ca="1" si="27"/>
        <v>119082.40831799689</v>
      </c>
      <c r="P117" s="70">
        <f t="shared" ca="1" si="41"/>
        <v>27701048.439830605</v>
      </c>
      <c r="Q117" s="70">
        <f ca="1">IF(OR(A117&gt;入力設定!$B$6*12,P117+AC117&lt;0.000001),0,IF(P117&lt;0.000001,Q116,IF(AE117=1,IF(C117=0,P117/MAX(1,入力設定!$B$6*12-A117+1),P117*(C117/12)/(1-(1+C117/12)^(-MAX(1,入力設定!$B$6*12-A117+1)))),Q116)))</f>
        <v>121667.61455625904</v>
      </c>
      <c r="R117" s="70">
        <f ca="1">IF(P117+AC117&lt;0.000001,0,IF(A117=入力設定!$B$6*12,P117+AB117+AC117,MIN(Q117,P117+AB117+AC117)))</f>
        <v>121667.61455625904</v>
      </c>
      <c r="S117" s="70">
        <f t="shared" ca="1" si="28"/>
        <v>57710.517582980428</v>
      </c>
      <c r="T117" s="70">
        <f t="shared" ca="1" si="29"/>
        <v>63957.096973278611</v>
      </c>
      <c r="U117" s="70">
        <f t="shared" ca="1" si="30"/>
        <v>27637091.342857327</v>
      </c>
      <c r="V117" s="70">
        <f t="shared" ca="1" si="31"/>
        <v>0</v>
      </c>
      <c r="W117" s="70">
        <f t="shared" ca="1" si="32"/>
        <v>0</v>
      </c>
      <c r="X117" s="70">
        <f t="shared" ca="1" si="33"/>
        <v>0</v>
      </c>
      <c r="Y117" s="71">
        <f t="shared" ca="1" si="34"/>
        <v>51050.1451176755</v>
      </c>
      <c r="Z117" s="71">
        <f t="shared" ca="1" si="42"/>
        <v>0</v>
      </c>
      <c r="AA117" s="71">
        <f t="shared" ca="1" si="35"/>
        <v>0</v>
      </c>
      <c r="AB117" s="71">
        <f t="shared" ca="1" si="36"/>
        <v>57710.517582980428</v>
      </c>
      <c r="AC117" s="71">
        <f t="shared" ca="1" si="43"/>
        <v>0</v>
      </c>
      <c r="AD117" s="71">
        <f t="shared" ca="1" si="37"/>
        <v>0</v>
      </c>
      <c r="AE117" s="72">
        <f t="shared" si="38"/>
        <v>0</v>
      </c>
      <c r="AF117" s="73">
        <f>IF(A117&gt;入力設定!$B$6*12,0,IF(AND(ISNUMBER(C117),C117&gt;=0,C117&lt;=1),0,1))</f>
        <v>0</v>
      </c>
    </row>
    <row r="118" spans="1:32" ht="21" customHeight="1">
      <c r="A118" s="68">
        <f>113</f>
        <v>113</v>
      </c>
      <c r="B118" s="69">
        <f>EDATE(入力設定!$B$7,A118-1)</f>
        <v>49735</v>
      </c>
      <c r="C118" s="80">
        <f>INDEX(入力設定!$C$15:$C$24,INT((A118-1)/60)+1)</f>
        <v>2.5000000000000001E-2</v>
      </c>
      <c r="D118" s="70">
        <f t="shared" ca="1" si="39"/>
        <v>24436037.393283918</v>
      </c>
      <c r="E118" s="70">
        <f t="shared" ca="1" si="40"/>
        <v>268</v>
      </c>
      <c r="F118" s="70">
        <f ca="1">IF(D118+Z118&lt;0.000001,0,IF(D118&lt;0.000001,F117,IF(OR(AE118=1,AND(K117&gt;0,入力設定!$B$8="返済額軽減型",入力設定!$B$11="翌月")),IF(C118=0,D118/MAX(1,E118),D118*(C118/12)/(1-(1+C118/12)^(-MAX(1,E118)))),F117)))</f>
        <v>119082.40831799689</v>
      </c>
      <c r="G118" s="70">
        <f t="shared" ca="1" si="22"/>
        <v>119082.40831799689</v>
      </c>
      <c r="H118" s="70">
        <f t="shared" ca="1" si="23"/>
        <v>50908.411236008164</v>
      </c>
      <c r="I118" s="70">
        <f t="shared" ca="1" si="24"/>
        <v>68173.997081988724</v>
      </c>
      <c r="J118" s="70">
        <f>SUMIFS(入力設定!$G$5:$G$24,入力設定!$F$5:$F$24,A118)</f>
        <v>0</v>
      </c>
      <c r="K118" s="70">
        <f t="shared" ca="1" si="25"/>
        <v>0</v>
      </c>
      <c r="L118" s="70">
        <f ca="1">IF(K118&gt;0,入力設定!$B$9,0)</f>
        <v>0</v>
      </c>
      <c r="M118" s="70">
        <f t="shared" ca="1" si="26"/>
        <v>24367863.396201931</v>
      </c>
      <c r="N118" s="70">
        <f ca="1">IF(M118+AA118&lt;0.000001,0,IF(AND(K118&gt;0,入力設定!$B$8="期間短縮型",AA118&lt;0.000001,F118&gt;M118*C118/12),MAX(1,MIN(E118-1,IF(C118=0,ROUNDUP(M118/F118,0),ROUNDUP(-LN(1-M118*(C118/12)/F118)/LN(1+C118/12),0)))),MAX(1,E118-1)))</f>
        <v>267</v>
      </c>
      <c r="O118" s="70">
        <f t="shared" ca="1" si="27"/>
        <v>119082.40831799689</v>
      </c>
      <c r="P118" s="70">
        <f t="shared" ca="1" si="41"/>
        <v>27637091.342857327</v>
      </c>
      <c r="Q118" s="70">
        <f ca="1">IF(OR(A118&gt;入力設定!$B$6*12,P118+AC118&lt;0.000001),0,IF(P118&lt;0.000001,Q117,IF(AE118=1,IF(C118=0,P118/MAX(1,入力設定!$B$6*12-A118+1),P118*(C118/12)/(1-(1+C118/12)^(-MAX(1,入力設定!$B$6*12-A118+1)))),Q117)))</f>
        <v>121667.61455625904</v>
      </c>
      <c r="R118" s="70">
        <f ca="1">IF(P118+AC118&lt;0.000001,0,IF(A118=入力設定!$B$6*12,P118+AB118+AC118,MIN(Q118,P118+AB118+AC118)))</f>
        <v>121667.61455625904</v>
      </c>
      <c r="S118" s="70">
        <f t="shared" ca="1" si="28"/>
        <v>57577.273630952775</v>
      </c>
      <c r="T118" s="70">
        <f t="shared" ca="1" si="29"/>
        <v>64090.340925306264</v>
      </c>
      <c r="U118" s="70">
        <f t="shared" ca="1" si="30"/>
        <v>27573001.001932021</v>
      </c>
      <c r="V118" s="70">
        <f t="shared" ca="1" si="31"/>
        <v>0</v>
      </c>
      <c r="W118" s="70">
        <f t="shared" ca="1" si="32"/>
        <v>0</v>
      </c>
      <c r="X118" s="70">
        <f t="shared" ca="1" si="33"/>
        <v>0</v>
      </c>
      <c r="Y118" s="71">
        <f t="shared" ca="1" si="34"/>
        <v>50908.411236008164</v>
      </c>
      <c r="Z118" s="71">
        <f t="shared" ca="1" si="42"/>
        <v>0</v>
      </c>
      <c r="AA118" s="71">
        <f t="shared" ca="1" si="35"/>
        <v>0</v>
      </c>
      <c r="AB118" s="71">
        <f t="shared" ca="1" si="36"/>
        <v>57577.273630952775</v>
      </c>
      <c r="AC118" s="71">
        <f t="shared" ca="1" si="43"/>
        <v>0</v>
      </c>
      <c r="AD118" s="71">
        <f t="shared" ca="1" si="37"/>
        <v>0</v>
      </c>
      <c r="AE118" s="72">
        <f t="shared" si="38"/>
        <v>0</v>
      </c>
      <c r="AF118" s="73">
        <f>IF(A118&gt;入力設定!$B$6*12,0,IF(AND(ISNUMBER(C118),C118&gt;=0,C118&lt;=1),0,1))</f>
        <v>0</v>
      </c>
    </row>
    <row r="119" spans="1:32" ht="21" customHeight="1">
      <c r="A119" s="68">
        <f>114</f>
        <v>114</v>
      </c>
      <c r="B119" s="69">
        <f>EDATE(入力設定!$B$7,A119-1)</f>
        <v>49766</v>
      </c>
      <c r="C119" s="80">
        <f>INDEX(入力設定!$C$15:$C$24,INT((A119-1)/60)+1)</f>
        <v>2.5000000000000001E-2</v>
      </c>
      <c r="D119" s="70">
        <f t="shared" ca="1" si="39"/>
        <v>24367863.396201931</v>
      </c>
      <c r="E119" s="70">
        <f t="shared" ca="1" si="40"/>
        <v>267</v>
      </c>
      <c r="F119" s="70">
        <f ca="1">IF(D119+Z119&lt;0.000001,0,IF(D119&lt;0.000001,F118,IF(OR(AE119=1,AND(K118&gt;0,入力設定!$B$8="返済額軽減型",入力設定!$B$11="翌月")),IF(C119=0,D119/MAX(1,E119),D119*(C119/12)/(1-(1+C119/12)^(-MAX(1,E119)))),F118)))</f>
        <v>119082.40831799689</v>
      </c>
      <c r="G119" s="70">
        <f t="shared" ca="1" si="22"/>
        <v>119082.40831799689</v>
      </c>
      <c r="H119" s="70">
        <f t="shared" ca="1" si="23"/>
        <v>50766.38207542069</v>
      </c>
      <c r="I119" s="70">
        <f t="shared" ca="1" si="24"/>
        <v>68316.02624257619</v>
      </c>
      <c r="J119" s="70">
        <f>SUMIFS(入力設定!$G$5:$G$24,入力設定!$F$5:$F$24,A119)</f>
        <v>0</v>
      </c>
      <c r="K119" s="70">
        <f t="shared" ca="1" si="25"/>
        <v>0</v>
      </c>
      <c r="L119" s="70">
        <f ca="1">IF(K119&gt;0,入力設定!$B$9,0)</f>
        <v>0</v>
      </c>
      <c r="M119" s="70">
        <f t="shared" ca="1" si="26"/>
        <v>24299547.369959354</v>
      </c>
      <c r="N119" s="70">
        <f ca="1">IF(M119+AA119&lt;0.000001,0,IF(AND(K119&gt;0,入力設定!$B$8="期間短縮型",AA119&lt;0.000001,F119&gt;M119*C119/12),MAX(1,MIN(E119-1,IF(C119=0,ROUNDUP(M119/F119,0),ROUNDUP(-LN(1-M119*(C119/12)/F119)/LN(1+C119/12),0)))),MAX(1,E119-1)))</f>
        <v>266</v>
      </c>
      <c r="O119" s="70">
        <f t="shared" ca="1" si="27"/>
        <v>119082.40831799689</v>
      </c>
      <c r="P119" s="70">
        <f t="shared" ca="1" si="41"/>
        <v>27573001.001932021</v>
      </c>
      <c r="Q119" s="70">
        <f ca="1">IF(OR(A119&gt;入力設定!$B$6*12,P119+AC119&lt;0.000001),0,IF(P119&lt;0.000001,Q118,IF(AE119=1,IF(C119=0,P119/MAX(1,入力設定!$B$6*12-A119+1),P119*(C119/12)/(1-(1+C119/12)^(-MAX(1,入力設定!$B$6*12-A119+1)))),Q118)))</f>
        <v>121667.61455625904</v>
      </c>
      <c r="R119" s="70">
        <f ca="1">IF(P119+AC119&lt;0.000001,0,IF(A119=入力設定!$B$6*12,P119+AB119+AC119,MIN(Q119,P119+AB119+AC119)))</f>
        <v>121667.61455625904</v>
      </c>
      <c r="S119" s="70">
        <f t="shared" ca="1" si="28"/>
        <v>57443.752087358385</v>
      </c>
      <c r="T119" s="70">
        <f t="shared" ca="1" si="29"/>
        <v>64223.862468900654</v>
      </c>
      <c r="U119" s="70">
        <f t="shared" ca="1" si="30"/>
        <v>27508777.139463119</v>
      </c>
      <c r="V119" s="70">
        <f t="shared" ca="1" si="31"/>
        <v>0</v>
      </c>
      <c r="W119" s="70">
        <f t="shared" ca="1" si="32"/>
        <v>0</v>
      </c>
      <c r="X119" s="70">
        <f t="shared" ca="1" si="33"/>
        <v>0</v>
      </c>
      <c r="Y119" s="71">
        <f t="shared" ca="1" si="34"/>
        <v>50766.38207542069</v>
      </c>
      <c r="Z119" s="71">
        <f t="shared" ca="1" si="42"/>
        <v>0</v>
      </c>
      <c r="AA119" s="71">
        <f t="shared" ca="1" si="35"/>
        <v>0</v>
      </c>
      <c r="AB119" s="71">
        <f t="shared" ca="1" si="36"/>
        <v>57443.752087358385</v>
      </c>
      <c r="AC119" s="71">
        <f t="shared" ca="1" si="43"/>
        <v>0</v>
      </c>
      <c r="AD119" s="71">
        <f t="shared" ca="1" si="37"/>
        <v>0</v>
      </c>
      <c r="AE119" s="72">
        <f t="shared" si="38"/>
        <v>0</v>
      </c>
      <c r="AF119" s="73">
        <f>IF(A119&gt;入力設定!$B$6*12,0,IF(AND(ISNUMBER(C119),C119&gt;=0,C119&lt;=1),0,1))</f>
        <v>0</v>
      </c>
    </row>
    <row r="120" spans="1:32" ht="21" customHeight="1">
      <c r="A120" s="68">
        <f>115</f>
        <v>115</v>
      </c>
      <c r="B120" s="69">
        <f>EDATE(入力設定!$B$7,A120-1)</f>
        <v>49796</v>
      </c>
      <c r="C120" s="80">
        <f>INDEX(入力設定!$C$15:$C$24,INT((A120-1)/60)+1)</f>
        <v>2.5000000000000001E-2</v>
      </c>
      <c r="D120" s="70">
        <f t="shared" ca="1" si="39"/>
        <v>24299547.369959354</v>
      </c>
      <c r="E120" s="70">
        <f t="shared" ca="1" si="40"/>
        <v>266</v>
      </c>
      <c r="F120" s="70">
        <f ca="1">IF(D120+Z120&lt;0.000001,0,IF(D120&lt;0.000001,F119,IF(OR(AE120=1,AND(K119&gt;0,入力設定!$B$8="返済額軽減型",入力設定!$B$11="翌月")),IF(C120=0,D120/MAX(1,E120),D120*(C120/12)/(1-(1+C120/12)^(-MAX(1,E120)))),F119)))</f>
        <v>119082.40831799689</v>
      </c>
      <c r="G120" s="70">
        <f t="shared" ca="1" si="22"/>
        <v>119082.40831799689</v>
      </c>
      <c r="H120" s="70">
        <f t="shared" ca="1" si="23"/>
        <v>50624.057020748653</v>
      </c>
      <c r="I120" s="70">
        <f t="shared" ca="1" si="24"/>
        <v>68458.351297248242</v>
      </c>
      <c r="J120" s="70">
        <f>SUMIFS(入力設定!$G$5:$G$24,入力設定!$F$5:$F$24,A120)</f>
        <v>0</v>
      </c>
      <c r="K120" s="70">
        <f t="shared" ca="1" si="25"/>
        <v>0</v>
      </c>
      <c r="L120" s="70">
        <f ca="1">IF(K120&gt;0,入力設定!$B$9,0)</f>
        <v>0</v>
      </c>
      <c r="M120" s="70">
        <f t="shared" ca="1" si="26"/>
        <v>24231089.018662106</v>
      </c>
      <c r="N120" s="70">
        <f ca="1">IF(M120+AA120&lt;0.000001,0,IF(AND(K120&gt;0,入力設定!$B$8="期間短縮型",AA120&lt;0.000001,F120&gt;M120*C120/12),MAX(1,MIN(E120-1,IF(C120=0,ROUNDUP(M120/F120,0),ROUNDUP(-LN(1-M120*(C120/12)/F120)/LN(1+C120/12),0)))),MAX(1,E120-1)))</f>
        <v>265</v>
      </c>
      <c r="O120" s="70">
        <f t="shared" ca="1" si="27"/>
        <v>119082.40831799689</v>
      </c>
      <c r="P120" s="70">
        <f t="shared" ca="1" si="41"/>
        <v>27508777.139463119</v>
      </c>
      <c r="Q120" s="70">
        <f ca="1">IF(OR(A120&gt;入力設定!$B$6*12,P120+AC120&lt;0.000001),0,IF(P120&lt;0.000001,Q119,IF(AE120=1,IF(C120=0,P120/MAX(1,入力設定!$B$6*12-A120+1),P120*(C120/12)/(1-(1+C120/12)^(-MAX(1,入力設定!$B$6*12-A120+1)))),Q119)))</f>
        <v>121667.61455625904</v>
      </c>
      <c r="R120" s="70">
        <f ca="1">IF(P120+AC120&lt;0.000001,0,IF(A120=入力設定!$B$6*12,P120+AB120+AC120,MIN(Q120,P120+AB120+AC120)))</f>
        <v>121667.61455625904</v>
      </c>
      <c r="S120" s="70">
        <f t="shared" ca="1" si="28"/>
        <v>57309.952373881504</v>
      </c>
      <c r="T120" s="70">
        <f t="shared" ca="1" si="29"/>
        <v>64357.662182377535</v>
      </c>
      <c r="U120" s="70">
        <f t="shared" ca="1" si="30"/>
        <v>27444419.477280743</v>
      </c>
      <c r="V120" s="70">
        <f t="shared" ca="1" si="31"/>
        <v>0</v>
      </c>
      <c r="W120" s="70">
        <f t="shared" ca="1" si="32"/>
        <v>0</v>
      </c>
      <c r="X120" s="70">
        <f t="shared" ca="1" si="33"/>
        <v>0</v>
      </c>
      <c r="Y120" s="71">
        <f t="shared" ca="1" si="34"/>
        <v>50624.057020748653</v>
      </c>
      <c r="Z120" s="71">
        <f t="shared" ca="1" si="42"/>
        <v>0</v>
      </c>
      <c r="AA120" s="71">
        <f t="shared" ca="1" si="35"/>
        <v>0</v>
      </c>
      <c r="AB120" s="71">
        <f t="shared" ca="1" si="36"/>
        <v>57309.952373881504</v>
      </c>
      <c r="AC120" s="71">
        <f t="shared" ca="1" si="43"/>
        <v>0</v>
      </c>
      <c r="AD120" s="71">
        <f t="shared" ca="1" si="37"/>
        <v>0</v>
      </c>
      <c r="AE120" s="72">
        <f t="shared" si="38"/>
        <v>0</v>
      </c>
      <c r="AF120" s="73">
        <f>IF(A120&gt;入力設定!$B$6*12,0,IF(AND(ISNUMBER(C120),C120&gt;=0,C120&lt;=1),0,1))</f>
        <v>0</v>
      </c>
    </row>
    <row r="121" spans="1:32" ht="21" customHeight="1">
      <c r="A121" s="68">
        <f>116</f>
        <v>116</v>
      </c>
      <c r="B121" s="69">
        <f>EDATE(入力設定!$B$7,A121-1)</f>
        <v>49827</v>
      </c>
      <c r="C121" s="80">
        <f>INDEX(入力設定!$C$15:$C$24,INT((A121-1)/60)+1)</f>
        <v>2.5000000000000001E-2</v>
      </c>
      <c r="D121" s="70">
        <f t="shared" ca="1" si="39"/>
        <v>24231089.018662106</v>
      </c>
      <c r="E121" s="70">
        <f t="shared" ca="1" si="40"/>
        <v>265</v>
      </c>
      <c r="F121" s="70">
        <f ca="1">IF(D121+Z121&lt;0.000001,0,IF(D121&lt;0.000001,F120,IF(OR(AE121=1,AND(K120&gt;0,入力設定!$B$8="返済額軽減型",入力設定!$B$11="翌月")),IF(C121=0,D121/MAX(1,E121),D121*(C121/12)/(1-(1+C121/12)^(-MAX(1,E121)))),F120)))</f>
        <v>119082.40831799689</v>
      </c>
      <c r="G121" s="70">
        <f t="shared" ca="1" si="22"/>
        <v>119082.40831799689</v>
      </c>
      <c r="H121" s="70">
        <f t="shared" ca="1" si="23"/>
        <v>50481.435455546052</v>
      </c>
      <c r="I121" s="70">
        <f t="shared" ca="1" si="24"/>
        <v>68600.972862450843</v>
      </c>
      <c r="J121" s="70">
        <f>SUMIFS(入力設定!$G$5:$G$24,入力設定!$F$5:$F$24,A121)</f>
        <v>0</v>
      </c>
      <c r="K121" s="70">
        <f t="shared" ca="1" si="25"/>
        <v>0</v>
      </c>
      <c r="L121" s="70">
        <f ca="1">IF(K121&gt;0,入力設定!$B$9,0)</f>
        <v>0</v>
      </c>
      <c r="M121" s="70">
        <f t="shared" ca="1" si="26"/>
        <v>24162488.045799654</v>
      </c>
      <c r="N121" s="70">
        <f ca="1">IF(M121+AA121&lt;0.000001,0,IF(AND(K121&gt;0,入力設定!$B$8="期間短縮型",AA121&lt;0.000001,F121&gt;M121*C121/12),MAX(1,MIN(E121-1,IF(C121=0,ROUNDUP(M121/F121,0),ROUNDUP(-LN(1-M121*(C121/12)/F121)/LN(1+C121/12),0)))),MAX(1,E121-1)))</f>
        <v>264</v>
      </c>
      <c r="O121" s="70">
        <f t="shared" ca="1" si="27"/>
        <v>119082.40831799689</v>
      </c>
      <c r="P121" s="70">
        <f t="shared" ca="1" si="41"/>
        <v>27444419.477280743</v>
      </c>
      <c r="Q121" s="70">
        <f ca="1">IF(OR(A121&gt;入力設定!$B$6*12,P121+AC121&lt;0.000001),0,IF(P121&lt;0.000001,Q120,IF(AE121=1,IF(C121=0,P121/MAX(1,入力設定!$B$6*12-A121+1),P121*(C121/12)/(1-(1+C121/12)^(-MAX(1,入力設定!$B$6*12-A121+1)))),Q120)))</f>
        <v>121667.61455625904</v>
      </c>
      <c r="R121" s="70">
        <f ca="1">IF(P121+AC121&lt;0.000001,0,IF(A121=入力設定!$B$6*12,P121+AB121+AC121,MIN(Q121,P121+AB121+AC121)))</f>
        <v>121667.61455625904</v>
      </c>
      <c r="S121" s="70">
        <f t="shared" ca="1" si="28"/>
        <v>57175.873911001552</v>
      </c>
      <c r="T121" s="70">
        <f t="shared" ca="1" si="29"/>
        <v>64491.740645257487</v>
      </c>
      <c r="U121" s="70">
        <f t="shared" ca="1" si="30"/>
        <v>27379927.736635488</v>
      </c>
      <c r="V121" s="70">
        <f t="shared" ca="1" si="31"/>
        <v>0</v>
      </c>
      <c r="W121" s="70">
        <f t="shared" ca="1" si="32"/>
        <v>0</v>
      </c>
      <c r="X121" s="70">
        <f t="shared" ca="1" si="33"/>
        <v>0</v>
      </c>
      <c r="Y121" s="71">
        <f t="shared" ca="1" si="34"/>
        <v>50481.435455546052</v>
      </c>
      <c r="Z121" s="71">
        <f t="shared" ca="1" si="42"/>
        <v>0</v>
      </c>
      <c r="AA121" s="71">
        <f t="shared" ca="1" si="35"/>
        <v>0</v>
      </c>
      <c r="AB121" s="71">
        <f t="shared" ca="1" si="36"/>
        <v>57175.873911001552</v>
      </c>
      <c r="AC121" s="71">
        <f t="shared" ca="1" si="43"/>
        <v>0</v>
      </c>
      <c r="AD121" s="71">
        <f t="shared" ca="1" si="37"/>
        <v>0</v>
      </c>
      <c r="AE121" s="72">
        <f t="shared" si="38"/>
        <v>0</v>
      </c>
      <c r="AF121" s="73">
        <f>IF(A121&gt;入力設定!$B$6*12,0,IF(AND(ISNUMBER(C121),C121&gt;=0,C121&lt;=1),0,1))</f>
        <v>0</v>
      </c>
    </row>
    <row r="122" spans="1:32" ht="21" customHeight="1">
      <c r="A122" s="68">
        <f>117</f>
        <v>117</v>
      </c>
      <c r="B122" s="69">
        <f>EDATE(入力設定!$B$7,A122-1)</f>
        <v>49857</v>
      </c>
      <c r="C122" s="80">
        <f>INDEX(入力設定!$C$15:$C$24,INT((A122-1)/60)+1)</f>
        <v>2.5000000000000001E-2</v>
      </c>
      <c r="D122" s="70">
        <f t="shared" ca="1" si="39"/>
        <v>24162488.045799654</v>
      </c>
      <c r="E122" s="70">
        <f t="shared" ca="1" si="40"/>
        <v>264</v>
      </c>
      <c r="F122" s="70">
        <f ca="1">IF(D122+Z122&lt;0.000001,0,IF(D122&lt;0.000001,F121,IF(OR(AE122=1,AND(K121&gt;0,入力設定!$B$8="返済額軽減型",入力設定!$B$11="翌月")),IF(C122=0,D122/MAX(1,E122),D122*(C122/12)/(1-(1+C122/12)^(-MAX(1,E122)))),F121)))</f>
        <v>119082.40831799689</v>
      </c>
      <c r="G122" s="70">
        <f t="shared" ca="1" si="22"/>
        <v>119082.40831799689</v>
      </c>
      <c r="H122" s="70">
        <f t="shared" ca="1" si="23"/>
        <v>50338.516762082611</v>
      </c>
      <c r="I122" s="70">
        <f t="shared" ca="1" si="24"/>
        <v>68743.891555914277</v>
      </c>
      <c r="J122" s="70">
        <f>SUMIFS(入力設定!$G$5:$G$24,入力設定!$F$5:$F$24,A122)</f>
        <v>0</v>
      </c>
      <c r="K122" s="70">
        <f t="shared" ca="1" si="25"/>
        <v>0</v>
      </c>
      <c r="L122" s="70">
        <f ca="1">IF(K122&gt;0,入力設定!$B$9,0)</f>
        <v>0</v>
      </c>
      <c r="M122" s="70">
        <f t="shared" ca="1" si="26"/>
        <v>24093744.154243741</v>
      </c>
      <c r="N122" s="70">
        <f ca="1">IF(M122+AA122&lt;0.000001,0,IF(AND(K122&gt;0,入力設定!$B$8="期間短縮型",AA122&lt;0.000001,F122&gt;M122*C122/12),MAX(1,MIN(E122-1,IF(C122=0,ROUNDUP(M122/F122,0),ROUNDUP(-LN(1-M122*(C122/12)/F122)/LN(1+C122/12),0)))),MAX(1,E122-1)))</f>
        <v>263</v>
      </c>
      <c r="O122" s="70">
        <f t="shared" ca="1" si="27"/>
        <v>119082.40831799689</v>
      </c>
      <c r="P122" s="70">
        <f t="shared" ca="1" si="41"/>
        <v>27379927.736635488</v>
      </c>
      <c r="Q122" s="70">
        <f ca="1">IF(OR(A122&gt;入力設定!$B$6*12,P122+AC122&lt;0.000001),0,IF(P122&lt;0.000001,Q121,IF(AE122=1,IF(C122=0,P122/MAX(1,入力設定!$B$6*12-A122+1),P122*(C122/12)/(1-(1+C122/12)^(-MAX(1,入力設定!$B$6*12-A122+1)))),Q121)))</f>
        <v>121667.61455625904</v>
      </c>
      <c r="R122" s="70">
        <f ca="1">IF(P122+AC122&lt;0.000001,0,IF(A122=入力設定!$B$6*12,P122+AB122+AC122,MIN(Q122,P122+AB122+AC122)))</f>
        <v>121667.61455625904</v>
      </c>
      <c r="S122" s="70">
        <f t="shared" ca="1" si="28"/>
        <v>57041.516117990599</v>
      </c>
      <c r="T122" s="70">
        <f t="shared" ca="1" si="29"/>
        <v>64626.09843826844</v>
      </c>
      <c r="U122" s="70">
        <f t="shared" ca="1" si="30"/>
        <v>27315301.638197221</v>
      </c>
      <c r="V122" s="70">
        <f t="shared" ca="1" si="31"/>
        <v>0</v>
      </c>
      <c r="W122" s="70">
        <f t="shared" ca="1" si="32"/>
        <v>0</v>
      </c>
      <c r="X122" s="70">
        <f t="shared" ca="1" si="33"/>
        <v>0</v>
      </c>
      <c r="Y122" s="71">
        <f t="shared" ca="1" si="34"/>
        <v>50338.516762082611</v>
      </c>
      <c r="Z122" s="71">
        <f t="shared" ca="1" si="42"/>
        <v>0</v>
      </c>
      <c r="AA122" s="71">
        <f t="shared" ca="1" si="35"/>
        <v>0</v>
      </c>
      <c r="AB122" s="71">
        <f t="shared" ca="1" si="36"/>
        <v>57041.516117990599</v>
      </c>
      <c r="AC122" s="71">
        <f t="shared" ca="1" si="43"/>
        <v>0</v>
      </c>
      <c r="AD122" s="71">
        <f t="shared" ca="1" si="37"/>
        <v>0</v>
      </c>
      <c r="AE122" s="72">
        <f t="shared" si="38"/>
        <v>0</v>
      </c>
      <c r="AF122" s="73">
        <f>IF(A122&gt;入力設定!$B$6*12,0,IF(AND(ISNUMBER(C122),C122&gt;=0,C122&lt;=1),0,1))</f>
        <v>0</v>
      </c>
    </row>
    <row r="123" spans="1:32" ht="21" customHeight="1">
      <c r="A123" s="68">
        <f>118</f>
        <v>118</v>
      </c>
      <c r="B123" s="69">
        <f>EDATE(入力設定!$B$7,A123-1)</f>
        <v>49888</v>
      </c>
      <c r="C123" s="80">
        <f>INDEX(入力設定!$C$15:$C$24,INT((A123-1)/60)+1)</f>
        <v>2.5000000000000001E-2</v>
      </c>
      <c r="D123" s="70">
        <f t="shared" ca="1" si="39"/>
        <v>24093744.154243741</v>
      </c>
      <c r="E123" s="70">
        <f t="shared" ca="1" si="40"/>
        <v>263</v>
      </c>
      <c r="F123" s="70">
        <f ca="1">IF(D123+Z123&lt;0.000001,0,IF(D123&lt;0.000001,F122,IF(OR(AE123=1,AND(K122&gt;0,入力設定!$B$8="返済額軽減型",入力設定!$B$11="翌月")),IF(C123=0,D123/MAX(1,E123),D123*(C123/12)/(1-(1+C123/12)^(-MAX(1,E123)))),F122)))</f>
        <v>119082.40831799689</v>
      </c>
      <c r="G123" s="70">
        <f t="shared" ca="1" si="22"/>
        <v>119082.40831799689</v>
      </c>
      <c r="H123" s="70">
        <f t="shared" ca="1" si="23"/>
        <v>50195.300321341136</v>
      </c>
      <c r="I123" s="70">
        <f t="shared" ca="1" si="24"/>
        <v>68887.107996655745</v>
      </c>
      <c r="J123" s="70">
        <f>SUMIFS(入力設定!$G$5:$G$24,入力設定!$F$5:$F$24,A123)</f>
        <v>0</v>
      </c>
      <c r="K123" s="70">
        <f t="shared" ca="1" si="25"/>
        <v>0</v>
      </c>
      <c r="L123" s="70">
        <f ca="1">IF(K123&gt;0,入力設定!$B$9,0)</f>
        <v>0</v>
      </c>
      <c r="M123" s="70">
        <f t="shared" ca="1" si="26"/>
        <v>24024857.046247084</v>
      </c>
      <c r="N123" s="70">
        <f ca="1">IF(M123+AA123&lt;0.000001,0,IF(AND(K123&gt;0,入力設定!$B$8="期間短縮型",AA123&lt;0.000001,F123&gt;M123*C123/12),MAX(1,MIN(E123-1,IF(C123=0,ROUNDUP(M123/F123,0),ROUNDUP(-LN(1-M123*(C123/12)/F123)/LN(1+C123/12),0)))),MAX(1,E123-1)))</f>
        <v>262</v>
      </c>
      <c r="O123" s="70">
        <f t="shared" ca="1" si="27"/>
        <v>119082.40831799689</v>
      </c>
      <c r="P123" s="70">
        <f t="shared" ca="1" si="41"/>
        <v>27315301.638197221</v>
      </c>
      <c r="Q123" s="70">
        <f ca="1">IF(OR(A123&gt;入力設定!$B$6*12,P123+AC123&lt;0.000001),0,IF(P123&lt;0.000001,Q122,IF(AE123=1,IF(C123=0,P123/MAX(1,入力設定!$B$6*12-A123+1),P123*(C123/12)/(1-(1+C123/12)^(-MAX(1,入力設定!$B$6*12-A123+1)))),Q122)))</f>
        <v>121667.61455625904</v>
      </c>
      <c r="R123" s="70">
        <f ca="1">IF(P123+AC123&lt;0.000001,0,IF(A123=入力設定!$B$6*12,P123+AB123+AC123,MIN(Q123,P123+AB123+AC123)))</f>
        <v>121667.61455625904</v>
      </c>
      <c r="S123" s="70">
        <f t="shared" ca="1" si="28"/>
        <v>56906.878412910883</v>
      </c>
      <c r="T123" s="70">
        <f t="shared" ca="1" si="29"/>
        <v>64760.736143348156</v>
      </c>
      <c r="U123" s="70">
        <f t="shared" ca="1" si="30"/>
        <v>27250540.902053874</v>
      </c>
      <c r="V123" s="70">
        <f t="shared" ca="1" si="31"/>
        <v>0</v>
      </c>
      <c r="W123" s="70">
        <f t="shared" ca="1" si="32"/>
        <v>0</v>
      </c>
      <c r="X123" s="70">
        <f t="shared" ca="1" si="33"/>
        <v>0</v>
      </c>
      <c r="Y123" s="71">
        <f t="shared" ca="1" si="34"/>
        <v>50195.300321341136</v>
      </c>
      <c r="Z123" s="71">
        <f t="shared" ca="1" si="42"/>
        <v>0</v>
      </c>
      <c r="AA123" s="71">
        <f t="shared" ca="1" si="35"/>
        <v>0</v>
      </c>
      <c r="AB123" s="71">
        <f t="shared" ca="1" si="36"/>
        <v>56906.878412910883</v>
      </c>
      <c r="AC123" s="71">
        <f t="shared" ca="1" si="43"/>
        <v>0</v>
      </c>
      <c r="AD123" s="71">
        <f t="shared" ca="1" si="37"/>
        <v>0</v>
      </c>
      <c r="AE123" s="72">
        <f t="shared" si="38"/>
        <v>0</v>
      </c>
      <c r="AF123" s="73">
        <f>IF(A123&gt;入力設定!$B$6*12,0,IF(AND(ISNUMBER(C123),C123&gt;=0,C123&lt;=1),0,1))</f>
        <v>0</v>
      </c>
    </row>
    <row r="124" spans="1:32" ht="21" customHeight="1">
      <c r="A124" s="68">
        <f>119</f>
        <v>119</v>
      </c>
      <c r="B124" s="69">
        <f>EDATE(入力設定!$B$7,A124-1)</f>
        <v>49919</v>
      </c>
      <c r="C124" s="80">
        <f>INDEX(入力設定!$C$15:$C$24,INT((A124-1)/60)+1)</f>
        <v>2.5000000000000001E-2</v>
      </c>
      <c r="D124" s="70">
        <f t="shared" ca="1" si="39"/>
        <v>24024857.046247084</v>
      </c>
      <c r="E124" s="70">
        <f t="shared" ca="1" si="40"/>
        <v>262</v>
      </c>
      <c r="F124" s="70">
        <f ca="1">IF(D124+Z124&lt;0.000001,0,IF(D124&lt;0.000001,F123,IF(OR(AE124=1,AND(K123&gt;0,入力設定!$B$8="返済額軽減型",入力設定!$B$11="翌月")),IF(C124=0,D124/MAX(1,E124),D124*(C124/12)/(1-(1+C124/12)^(-MAX(1,E124)))),F123)))</f>
        <v>119082.40831799689</v>
      </c>
      <c r="G124" s="70">
        <f t="shared" ca="1" si="22"/>
        <v>119082.40831799689</v>
      </c>
      <c r="H124" s="70">
        <f t="shared" ca="1" si="23"/>
        <v>50051.785513014758</v>
      </c>
      <c r="I124" s="70">
        <f t="shared" ca="1" si="24"/>
        <v>69030.622804982122</v>
      </c>
      <c r="J124" s="70">
        <f>SUMIFS(入力設定!$G$5:$G$24,入力設定!$F$5:$F$24,A124)</f>
        <v>0</v>
      </c>
      <c r="K124" s="70">
        <f t="shared" ca="1" si="25"/>
        <v>0</v>
      </c>
      <c r="L124" s="70">
        <f ca="1">IF(K124&gt;0,入力設定!$B$9,0)</f>
        <v>0</v>
      </c>
      <c r="M124" s="70">
        <f t="shared" ca="1" si="26"/>
        <v>23955826.423442103</v>
      </c>
      <c r="N124" s="70">
        <f ca="1">IF(M124+AA124&lt;0.000001,0,IF(AND(K124&gt;0,入力設定!$B$8="期間短縮型",AA124&lt;0.000001,F124&gt;M124*C124/12),MAX(1,MIN(E124-1,IF(C124=0,ROUNDUP(M124/F124,0),ROUNDUP(-LN(1-M124*(C124/12)/F124)/LN(1+C124/12),0)))),MAX(1,E124-1)))</f>
        <v>261</v>
      </c>
      <c r="O124" s="70">
        <f t="shared" ca="1" si="27"/>
        <v>119082.40831799689</v>
      </c>
      <c r="P124" s="70">
        <f t="shared" ca="1" si="41"/>
        <v>27250540.902053874</v>
      </c>
      <c r="Q124" s="70">
        <f ca="1">IF(OR(A124&gt;入力設定!$B$6*12,P124+AC124&lt;0.000001),0,IF(P124&lt;0.000001,Q123,IF(AE124=1,IF(C124=0,P124/MAX(1,入力設定!$B$6*12-A124+1),P124*(C124/12)/(1-(1+C124/12)^(-MAX(1,入力設定!$B$6*12-A124+1)))),Q123)))</f>
        <v>121667.61455625904</v>
      </c>
      <c r="R124" s="70">
        <f ca="1">IF(P124+AC124&lt;0.000001,0,IF(A124=入力設定!$B$6*12,P124+AB124+AC124,MIN(Q124,P124+AB124+AC124)))</f>
        <v>121667.61455625904</v>
      </c>
      <c r="S124" s="70">
        <f t="shared" ca="1" si="28"/>
        <v>56771.960212612241</v>
      </c>
      <c r="T124" s="70">
        <f t="shared" ca="1" si="29"/>
        <v>64895.654343646798</v>
      </c>
      <c r="U124" s="70">
        <f t="shared" ca="1" si="30"/>
        <v>27185645.247710228</v>
      </c>
      <c r="V124" s="70">
        <f t="shared" ca="1" si="31"/>
        <v>0</v>
      </c>
      <c r="W124" s="70">
        <f t="shared" ca="1" si="32"/>
        <v>0</v>
      </c>
      <c r="X124" s="70">
        <f t="shared" ca="1" si="33"/>
        <v>0</v>
      </c>
      <c r="Y124" s="71">
        <f t="shared" ca="1" si="34"/>
        <v>50051.785513014758</v>
      </c>
      <c r="Z124" s="71">
        <f t="shared" ca="1" si="42"/>
        <v>0</v>
      </c>
      <c r="AA124" s="71">
        <f t="shared" ca="1" si="35"/>
        <v>0</v>
      </c>
      <c r="AB124" s="71">
        <f t="shared" ca="1" si="36"/>
        <v>56771.960212612241</v>
      </c>
      <c r="AC124" s="71">
        <f t="shared" ca="1" si="43"/>
        <v>0</v>
      </c>
      <c r="AD124" s="71">
        <f t="shared" ca="1" si="37"/>
        <v>0</v>
      </c>
      <c r="AE124" s="72">
        <f t="shared" si="38"/>
        <v>0</v>
      </c>
      <c r="AF124" s="73">
        <f>IF(A124&gt;入力設定!$B$6*12,0,IF(AND(ISNUMBER(C124),C124&gt;=0,C124&lt;=1),0,1))</f>
        <v>0</v>
      </c>
    </row>
    <row r="125" spans="1:32" ht="21" customHeight="1">
      <c r="A125" s="68">
        <f>120</f>
        <v>120</v>
      </c>
      <c r="B125" s="69">
        <f>EDATE(入力設定!$B$7,A125-1)</f>
        <v>49949</v>
      </c>
      <c r="C125" s="80">
        <f>INDEX(入力設定!$C$15:$C$24,INT((A125-1)/60)+1)</f>
        <v>2.5000000000000001E-2</v>
      </c>
      <c r="D125" s="70">
        <f t="shared" ca="1" si="39"/>
        <v>23955826.423442103</v>
      </c>
      <c r="E125" s="70">
        <f t="shared" ca="1" si="40"/>
        <v>261</v>
      </c>
      <c r="F125" s="70">
        <f ca="1">IF(D125+Z125&lt;0.000001,0,IF(D125&lt;0.000001,F124,IF(OR(AE125=1,AND(K124&gt;0,入力設定!$B$8="返済額軽減型",入力設定!$B$11="翌月")),IF(C125=0,D125/MAX(1,E125),D125*(C125/12)/(1-(1+C125/12)^(-MAX(1,E125)))),F124)))</f>
        <v>119082.40831799689</v>
      </c>
      <c r="G125" s="70">
        <f t="shared" ca="1" si="22"/>
        <v>119082.40831799689</v>
      </c>
      <c r="H125" s="70">
        <f t="shared" ca="1" si="23"/>
        <v>49907.971715504384</v>
      </c>
      <c r="I125" s="70">
        <f t="shared" ca="1" si="24"/>
        <v>69174.436602492497</v>
      </c>
      <c r="J125" s="70">
        <f>SUMIFS(入力設定!$G$5:$G$24,入力設定!$F$5:$F$24,A125)</f>
        <v>0</v>
      </c>
      <c r="K125" s="70">
        <f t="shared" ca="1" si="25"/>
        <v>0</v>
      </c>
      <c r="L125" s="70">
        <f ca="1">IF(K125&gt;0,入力設定!$B$9,0)</f>
        <v>0</v>
      </c>
      <c r="M125" s="70">
        <f t="shared" ca="1" si="26"/>
        <v>23886651.986839611</v>
      </c>
      <c r="N125" s="70">
        <f ca="1">IF(M125+AA125&lt;0.000001,0,IF(AND(K125&gt;0,入力設定!$B$8="期間短縮型",AA125&lt;0.000001,F125&gt;M125*C125/12),MAX(1,MIN(E125-1,IF(C125=0,ROUNDUP(M125/F125,0),ROUNDUP(-LN(1-M125*(C125/12)/F125)/LN(1+C125/12),0)))),MAX(1,E125-1)))</f>
        <v>260</v>
      </c>
      <c r="O125" s="70">
        <f t="shared" ca="1" si="27"/>
        <v>119082.40831799689</v>
      </c>
      <c r="P125" s="70">
        <f t="shared" ca="1" si="41"/>
        <v>27185645.247710228</v>
      </c>
      <c r="Q125" s="70">
        <f ca="1">IF(OR(A125&gt;入力設定!$B$6*12,P125+AC125&lt;0.000001),0,IF(P125&lt;0.000001,Q124,IF(AE125=1,IF(C125=0,P125/MAX(1,入力設定!$B$6*12-A125+1),P125*(C125/12)/(1-(1+C125/12)^(-MAX(1,入力設定!$B$6*12-A125+1)))),Q124)))</f>
        <v>121667.61455625904</v>
      </c>
      <c r="R125" s="70">
        <f ca="1">IF(P125+AC125&lt;0.000001,0,IF(A125=入力設定!$B$6*12,P125+AB125+AC125,MIN(Q125,P125+AB125+AC125)))</f>
        <v>121667.61455625904</v>
      </c>
      <c r="S125" s="70">
        <f t="shared" ca="1" si="28"/>
        <v>56636.760932729645</v>
      </c>
      <c r="T125" s="70">
        <f t="shared" ca="1" si="29"/>
        <v>65030.853623529394</v>
      </c>
      <c r="U125" s="70">
        <f t="shared" ca="1" si="30"/>
        <v>27120614.3940867</v>
      </c>
      <c r="V125" s="70">
        <f t="shared" ca="1" si="31"/>
        <v>0</v>
      </c>
      <c r="W125" s="70">
        <f t="shared" ca="1" si="32"/>
        <v>0</v>
      </c>
      <c r="X125" s="70">
        <f t="shared" ca="1" si="33"/>
        <v>0</v>
      </c>
      <c r="Y125" s="71">
        <f t="shared" ca="1" si="34"/>
        <v>49907.971715504384</v>
      </c>
      <c r="Z125" s="71">
        <f t="shared" ca="1" si="42"/>
        <v>0</v>
      </c>
      <c r="AA125" s="71">
        <f t="shared" ca="1" si="35"/>
        <v>0</v>
      </c>
      <c r="AB125" s="71">
        <f t="shared" ca="1" si="36"/>
        <v>56636.760932729645</v>
      </c>
      <c r="AC125" s="71">
        <f t="shared" ca="1" si="43"/>
        <v>0</v>
      </c>
      <c r="AD125" s="71">
        <f t="shared" ca="1" si="37"/>
        <v>0</v>
      </c>
      <c r="AE125" s="72">
        <f t="shared" si="38"/>
        <v>0</v>
      </c>
      <c r="AF125" s="73">
        <f>IF(A125&gt;入力設定!$B$6*12,0,IF(AND(ISNUMBER(C125),C125&gt;=0,C125&lt;=1),0,1))</f>
        <v>0</v>
      </c>
    </row>
    <row r="126" spans="1:32" ht="21" customHeight="1">
      <c r="A126" s="68">
        <f>121</f>
        <v>121</v>
      </c>
      <c r="B126" s="69">
        <f>EDATE(入力設定!$B$7,A126-1)</f>
        <v>49980</v>
      </c>
      <c r="C126" s="80">
        <f>INDEX(入力設定!$C$15:$C$24,INT((A126-1)/60)+1)</f>
        <v>0.03</v>
      </c>
      <c r="D126" s="70">
        <f t="shared" ca="1" si="39"/>
        <v>23886651.986839611</v>
      </c>
      <c r="E126" s="70">
        <f t="shared" ca="1" si="40"/>
        <v>260</v>
      </c>
      <c r="F126" s="70">
        <f ca="1">IF(D126+Z126&lt;0.000001,0,IF(D126&lt;0.000001,F125,IF(OR(AE126=1,AND(K125&gt;0,入力設定!$B$8="返済額軽減型",入力設定!$B$11="翌月")),IF(C126=0,D126/MAX(1,E126),D126*(C126/12)/(1-(1+C126/12)^(-MAX(1,E126)))),F125)))</f>
        <v>125052.99264303216</v>
      </c>
      <c r="G126" s="70">
        <f t="shared" ca="1" si="22"/>
        <v>125052.99264303216</v>
      </c>
      <c r="H126" s="70">
        <f t="shared" ca="1" si="23"/>
        <v>59716.629967099027</v>
      </c>
      <c r="I126" s="70">
        <f t="shared" ca="1" si="24"/>
        <v>65336.362675933138</v>
      </c>
      <c r="J126" s="70">
        <f>SUMIFS(入力設定!$G$5:$G$24,入力設定!$F$5:$F$24,A126)</f>
        <v>0</v>
      </c>
      <c r="K126" s="70">
        <f t="shared" ca="1" si="25"/>
        <v>0</v>
      </c>
      <c r="L126" s="70">
        <f ca="1">IF(K126&gt;0,入力設定!$B$9,0)</f>
        <v>0</v>
      </c>
      <c r="M126" s="70">
        <f t="shared" ca="1" si="26"/>
        <v>23821315.62416368</v>
      </c>
      <c r="N126" s="70">
        <f ca="1">IF(M126+AA126&lt;0.000001,0,IF(AND(K126&gt;0,入力設定!$B$8="期間短縮型",AA126&lt;0.000001,F126&gt;M126*C126/12),MAX(1,MIN(E126-1,IF(C126=0,ROUNDUP(M126/F126,0),ROUNDUP(-LN(1-M126*(C126/12)/F126)/LN(1+C126/12),0)))),MAX(1,E126-1)))</f>
        <v>259</v>
      </c>
      <c r="O126" s="70">
        <f t="shared" ca="1" si="27"/>
        <v>125052.99264303216</v>
      </c>
      <c r="P126" s="70">
        <f t="shared" ca="1" si="41"/>
        <v>27120614.3940867</v>
      </c>
      <c r="Q126" s="70">
        <f ca="1">IF(OR(A126&gt;入力設定!$B$6*12,P126+AC126&lt;0.000001),0,IF(P126&lt;0.000001,Q125,IF(AE126=1,IF(C126=0,P126/MAX(1,入力設定!$B$6*12-A126+1),P126*(C126/12)/(1-(1+C126/12)^(-MAX(1,入力設定!$B$6*12-A126+1)))),Q125)))</f>
        <v>128609.0218444733</v>
      </c>
      <c r="R126" s="70">
        <f ca="1">IF(P126+AC126&lt;0.000001,0,IF(A126=入力設定!$B$6*12,P126+AB126+AC126,MIN(Q126,P126+AB126+AC126)))</f>
        <v>128609.0218444733</v>
      </c>
      <c r="S126" s="70">
        <f t="shared" ca="1" si="28"/>
        <v>67801.535985216746</v>
      </c>
      <c r="T126" s="70">
        <f t="shared" ca="1" si="29"/>
        <v>60807.485859256558</v>
      </c>
      <c r="U126" s="70">
        <f t="shared" ca="1" si="30"/>
        <v>27059806.908227444</v>
      </c>
      <c r="V126" s="70">
        <f t="shared" ca="1" si="31"/>
        <v>0</v>
      </c>
      <c r="W126" s="70">
        <f t="shared" ca="1" si="32"/>
        <v>0</v>
      </c>
      <c r="X126" s="70">
        <f t="shared" ca="1" si="33"/>
        <v>0</v>
      </c>
      <c r="Y126" s="71">
        <f t="shared" ca="1" si="34"/>
        <v>59716.629967099027</v>
      </c>
      <c r="Z126" s="71">
        <f t="shared" ca="1" si="42"/>
        <v>0</v>
      </c>
      <c r="AA126" s="71">
        <f t="shared" ca="1" si="35"/>
        <v>0</v>
      </c>
      <c r="AB126" s="71">
        <f t="shared" ca="1" si="36"/>
        <v>67801.535985216746</v>
      </c>
      <c r="AC126" s="71">
        <f t="shared" ca="1" si="43"/>
        <v>0</v>
      </c>
      <c r="AD126" s="71">
        <f t="shared" ca="1" si="37"/>
        <v>0</v>
      </c>
      <c r="AE126" s="72">
        <f t="shared" si="38"/>
        <v>1</v>
      </c>
      <c r="AF126" s="73">
        <f>IF(A126&gt;入力設定!$B$6*12,0,IF(AND(ISNUMBER(C126),C126&gt;=0,C126&lt;=1),0,1))</f>
        <v>0</v>
      </c>
    </row>
    <row r="127" spans="1:32" ht="21" customHeight="1">
      <c r="A127" s="68">
        <f>122</f>
        <v>122</v>
      </c>
      <c r="B127" s="69">
        <f>EDATE(入力設定!$B$7,A127-1)</f>
        <v>50010</v>
      </c>
      <c r="C127" s="80">
        <f>INDEX(入力設定!$C$15:$C$24,INT((A127-1)/60)+1)</f>
        <v>0.03</v>
      </c>
      <c r="D127" s="70">
        <f t="shared" ca="1" si="39"/>
        <v>23821315.62416368</v>
      </c>
      <c r="E127" s="70">
        <f t="shared" ca="1" si="40"/>
        <v>259</v>
      </c>
      <c r="F127" s="70">
        <f ca="1">IF(D127+Z127&lt;0.000001,0,IF(D127&lt;0.000001,F126,IF(OR(AE127=1,AND(K126&gt;0,入力設定!$B$8="返済額軽減型",入力設定!$B$11="翌月")),IF(C127=0,D127/MAX(1,E127),D127*(C127/12)/(1-(1+C127/12)^(-MAX(1,E127)))),F126)))</f>
        <v>125052.99264303216</v>
      </c>
      <c r="G127" s="70">
        <f t="shared" ca="1" si="22"/>
        <v>125052.99264303216</v>
      </c>
      <c r="H127" s="70">
        <f t="shared" ca="1" si="23"/>
        <v>59553.289060409203</v>
      </c>
      <c r="I127" s="70">
        <f t="shared" ca="1" si="24"/>
        <v>65499.703582622962</v>
      </c>
      <c r="J127" s="70">
        <f>SUMIFS(入力設定!$G$5:$G$24,入力設定!$F$5:$F$24,A127)</f>
        <v>0</v>
      </c>
      <c r="K127" s="70">
        <f t="shared" ca="1" si="25"/>
        <v>0</v>
      </c>
      <c r="L127" s="70">
        <f ca="1">IF(K127&gt;0,入力設定!$B$9,0)</f>
        <v>0</v>
      </c>
      <c r="M127" s="70">
        <f t="shared" ca="1" si="26"/>
        <v>23755815.920581058</v>
      </c>
      <c r="N127" s="70">
        <f ca="1">IF(M127+AA127&lt;0.000001,0,IF(AND(K127&gt;0,入力設定!$B$8="期間短縮型",AA127&lt;0.000001,F127&gt;M127*C127/12),MAX(1,MIN(E127-1,IF(C127=0,ROUNDUP(M127/F127,0),ROUNDUP(-LN(1-M127*(C127/12)/F127)/LN(1+C127/12),0)))),MAX(1,E127-1)))</f>
        <v>258</v>
      </c>
      <c r="O127" s="70">
        <f t="shared" ca="1" si="27"/>
        <v>125052.99264303216</v>
      </c>
      <c r="P127" s="70">
        <f t="shared" ca="1" si="41"/>
        <v>27059806.908227444</v>
      </c>
      <c r="Q127" s="70">
        <f ca="1">IF(OR(A127&gt;入力設定!$B$6*12,P127+AC127&lt;0.000001),0,IF(P127&lt;0.000001,Q126,IF(AE127=1,IF(C127=0,P127/MAX(1,入力設定!$B$6*12-A127+1),P127*(C127/12)/(1-(1+C127/12)^(-MAX(1,入力設定!$B$6*12-A127+1)))),Q126)))</f>
        <v>128609.0218444733</v>
      </c>
      <c r="R127" s="70">
        <f ca="1">IF(P127+AC127&lt;0.000001,0,IF(A127=入力設定!$B$6*12,P127+AB127+AC127,MIN(Q127,P127+AB127+AC127)))</f>
        <v>128609.0218444733</v>
      </c>
      <c r="S127" s="70">
        <f t="shared" ca="1" si="28"/>
        <v>67649.517270568598</v>
      </c>
      <c r="T127" s="70">
        <f t="shared" ca="1" si="29"/>
        <v>60959.504573904705</v>
      </c>
      <c r="U127" s="70">
        <f t="shared" ca="1" si="30"/>
        <v>26998847.40365354</v>
      </c>
      <c r="V127" s="70">
        <f t="shared" ca="1" si="31"/>
        <v>0</v>
      </c>
      <c r="W127" s="70">
        <f t="shared" ca="1" si="32"/>
        <v>0</v>
      </c>
      <c r="X127" s="70">
        <f t="shared" ca="1" si="33"/>
        <v>0</v>
      </c>
      <c r="Y127" s="71">
        <f t="shared" ca="1" si="34"/>
        <v>59553.289060409203</v>
      </c>
      <c r="Z127" s="71">
        <f t="shared" ca="1" si="42"/>
        <v>0</v>
      </c>
      <c r="AA127" s="71">
        <f t="shared" ca="1" si="35"/>
        <v>0</v>
      </c>
      <c r="AB127" s="71">
        <f t="shared" ca="1" si="36"/>
        <v>67649.517270568598</v>
      </c>
      <c r="AC127" s="71">
        <f t="shared" ca="1" si="43"/>
        <v>0</v>
      </c>
      <c r="AD127" s="71">
        <f t="shared" ca="1" si="37"/>
        <v>0</v>
      </c>
      <c r="AE127" s="72">
        <f t="shared" si="38"/>
        <v>0</v>
      </c>
      <c r="AF127" s="73">
        <f>IF(A127&gt;入力設定!$B$6*12,0,IF(AND(ISNUMBER(C127),C127&gt;=0,C127&lt;=1),0,1))</f>
        <v>0</v>
      </c>
    </row>
    <row r="128" spans="1:32" ht="21" customHeight="1">
      <c r="A128" s="68">
        <f>123</f>
        <v>123</v>
      </c>
      <c r="B128" s="69">
        <f>EDATE(入力設定!$B$7,A128-1)</f>
        <v>50041</v>
      </c>
      <c r="C128" s="80">
        <f>INDEX(入力設定!$C$15:$C$24,INT((A128-1)/60)+1)</f>
        <v>0.03</v>
      </c>
      <c r="D128" s="70">
        <f t="shared" ca="1" si="39"/>
        <v>23755815.920581058</v>
      </c>
      <c r="E128" s="70">
        <f t="shared" ca="1" si="40"/>
        <v>258</v>
      </c>
      <c r="F128" s="70">
        <f ca="1">IF(D128+Z128&lt;0.000001,0,IF(D128&lt;0.000001,F127,IF(OR(AE128=1,AND(K127&gt;0,入力設定!$B$8="返済額軽減型",入力設定!$B$11="翌月")),IF(C128=0,D128/MAX(1,E128),D128*(C128/12)/(1-(1+C128/12)^(-MAX(1,E128)))),F127)))</f>
        <v>125052.99264303216</v>
      </c>
      <c r="G128" s="70">
        <f t="shared" ca="1" si="22"/>
        <v>125052.99264303216</v>
      </c>
      <c r="H128" s="70">
        <f t="shared" ca="1" si="23"/>
        <v>59389.539801452636</v>
      </c>
      <c r="I128" s="70">
        <f t="shared" ca="1" si="24"/>
        <v>65663.452841579536</v>
      </c>
      <c r="J128" s="70">
        <f>SUMIFS(入力設定!$G$5:$G$24,入力設定!$F$5:$F$24,A128)</f>
        <v>0</v>
      </c>
      <c r="K128" s="70">
        <f t="shared" ca="1" si="25"/>
        <v>0</v>
      </c>
      <c r="L128" s="70">
        <f ca="1">IF(K128&gt;0,入力設定!$B$9,0)</f>
        <v>0</v>
      </c>
      <c r="M128" s="70">
        <f t="shared" ca="1" si="26"/>
        <v>23690152.467739478</v>
      </c>
      <c r="N128" s="70">
        <f ca="1">IF(M128+AA128&lt;0.000001,0,IF(AND(K128&gt;0,入力設定!$B$8="期間短縮型",AA128&lt;0.000001,F128&gt;M128*C128/12),MAX(1,MIN(E128-1,IF(C128=0,ROUNDUP(M128/F128,0),ROUNDUP(-LN(1-M128*(C128/12)/F128)/LN(1+C128/12),0)))),MAX(1,E128-1)))</f>
        <v>257</v>
      </c>
      <c r="O128" s="70">
        <f t="shared" ca="1" si="27"/>
        <v>125052.99264303216</v>
      </c>
      <c r="P128" s="70">
        <f t="shared" ca="1" si="41"/>
        <v>26998847.40365354</v>
      </c>
      <c r="Q128" s="70">
        <f ca="1">IF(OR(A128&gt;入力設定!$B$6*12,P128+AC128&lt;0.000001),0,IF(P128&lt;0.000001,Q127,IF(AE128=1,IF(C128=0,P128/MAX(1,入力設定!$B$6*12-A128+1),P128*(C128/12)/(1-(1+C128/12)^(-MAX(1,入力設定!$B$6*12-A128+1)))),Q127)))</f>
        <v>128609.0218444733</v>
      </c>
      <c r="R128" s="70">
        <f ca="1">IF(P128+AC128&lt;0.000001,0,IF(A128=入力設定!$B$6*12,P128+AB128+AC128,MIN(Q128,P128+AB128+AC128)))</f>
        <v>128609.0218444733</v>
      </c>
      <c r="S128" s="70">
        <f t="shared" ca="1" si="28"/>
        <v>67497.118509133856</v>
      </c>
      <c r="T128" s="70">
        <f t="shared" ca="1" si="29"/>
        <v>61111.903335339448</v>
      </c>
      <c r="U128" s="70">
        <f t="shared" ca="1" si="30"/>
        <v>26937735.500318199</v>
      </c>
      <c r="V128" s="70">
        <f t="shared" ca="1" si="31"/>
        <v>0</v>
      </c>
      <c r="W128" s="70">
        <f t="shared" ca="1" si="32"/>
        <v>0</v>
      </c>
      <c r="X128" s="70">
        <f t="shared" ca="1" si="33"/>
        <v>0</v>
      </c>
      <c r="Y128" s="71">
        <f t="shared" ca="1" si="34"/>
        <v>59389.539801452636</v>
      </c>
      <c r="Z128" s="71">
        <f t="shared" ca="1" si="42"/>
        <v>0</v>
      </c>
      <c r="AA128" s="71">
        <f t="shared" ca="1" si="35"/>
        <v>0</v>
      </c>
      <c r="AB128" s="71">
        <f t="shared" ca="1" si="36"/>
        <v>67497.118509133856</v>
      </c>
      <c r="AC128" s="71">
        <f t="shared" ca="1" si="43"/>
        <v>0</v>
      </c>
      <c r="AD128" s="71">
        <f t="shared" ca="1" si="37"/>
        <v>0</v>
      </c>
      <c r="AE128" s="72">
        <f t="shared" si="38"/>
        <v>0</v>
      </c>
      <c r="AF128" s="73">
        <f>IF(A128&gt;入力設定!$B$6*12,0,IF(AND(ISNUMBER(C128),C128&gt;=0,C128&lt;=1),0,1))</f>
        <v>0</v>
      </c>
    </row>
    <row r="129" spans="1:32" ht="21" customHeight="1">
      <c r="A129" s="68">
        <f>124</f>
        <v>124</v>
      </c>
      <c r="B129" s="69">
        <f>EDATE(入力設定!$B$7,A129-1)</f>
        <v>50072</v>
      </c>
      <c r="C129" s="80">
        <f>INDEX(入力設定!$C$15:$C$24,INT((A129-1)/60)+1)</f>
        <v>0.03</v>
      </c>
      <c r="D129" s="70">
        <f t="shared" ca="1" si="39"/>
        <v>23690152.467739478</v>
      </c>
      <c r="E129" s="70">
        <f t="shared" ca="1" si="40"/>
        <v>257</v>
      </c>
      <c r="F129" s="70">
        <f ca="1">IF(D129+Z129&lt;0.000001,0,IF(D129&lt;0.000001,F128,IF(OR(AE129=1,AND(K128&gt;0,入力設定!$B$8="返済額軽減型",入力設定!$B$11="翌月")),IF(C129=0,D129/MAX(1,E129),D129*(C129/12)/(1-(1+C129/12)^(-MAX(1,E129)))),F128)))</f>
        <v>125052.99264303216</v>
      </c>
      <c r="G129" s="70">
        <f t="shared" ca="1" si="22"/>
        <v>125052.99264303216</v>
      </c>
      <c r="H129" s="70">
        <f t="shared" ca="1" si="23"/>
        <v>59225.381169348693</v>
      </c>
      <c r="I129" s="70">
        <f t="shared" ca="1" si="24"/>
        <v>65827.611473683472</v>
      </c>
      <c r="J129" s="70">
        <f>SUMIFS(入力設定!$G$5:$G$24,入力設定!$F$5:$F$24,A129)</f>
        <v>0</v>
      </c>
      <c r="K129" s="70">
        <f t="shared" ca="1" si="25"/>
        <v>0</v>
      </c>
      <c r="L129" s="70">
        <f ca="1">IF(K129&gt;0,入力設定!$B$9,0)</f>
        <v>0</v>
      </c>
      <c r="M129" s="70">
        <f t="shared" ca="1" si="26"/>
        <v>23624324.856265794</v>
      </c>
      <c r="N129" s="70">
        <f ca="1">IF(M129+AA129&lt;0.000001,0,IF(AND(K129&gt;0,入力設定!$B$8="期間短縮型",AA129&lt;0.000001,F129&gt;M129*C129/12),MAX(1,MIN(E129-1,IF(C129=0,ROUNDUP(M129/F129,0),ROUNDUP(-LN(1-M129*(C129/12)/F129)/LN(1+C129/12),0)))),MAX(1,E129-1)))</f>
        <v>256</v>
      </c>
      <c r="O129" s="70">
        <f t="shared" ca="1" si="27"/>
        <v>125052.99264303216</v>
      </c>
      <c r="P129" s="70">
        <f t="shared" ca="1" si="41"/>
        <v>26937735.500318199</v>
      </c>
      <c r="Q129" s="70">
        <f ca="1">IF(OR(A129&gt;入力設定!$B$6*12,P129+AC129&lt;0.000001),0,IF(P129&lt;0.000001,Q128,IF(AE129=1,IF(C129=0,P129/MAX(1,入力設定!$B$6*12-A129+1),P129*(C129/12)/(1-(1+C129/12)^(-MAX(1,入力設定!$B$6*12-A129+1)))),Q128)))</f>
        <v>128609.0218444733</v>
      </c>
      <c r="R129" s="70">
        <f ca="1">IF(P129+AC129&lt;0.000001,0,IF(A129=入力設定!$B$6*12,P129+AB129+AC129,MIN(Q129,P129+AB129+AC129)))</f>
        <v>128609.0218444733</v>
      </c>
      <c r="S129" s="70">
        <f t="shared" ca="1" si="28"/>
        <v>67344.338750795505</v>
      </c>
      <c r="T129" s="70">
        <f t="shared" ca="1" si="29"/>
        <v>61264.683093677799</v>
      </c>
      <c r="U129" s="70">
        <f t="shared" ca="1" si="30"/>
        <v>26876470.817224521</v>
      </c>
      <c r="V129" s="70">
        <f t="shared" ca="1" si="31"/>
        <v>0</v>
      </c>
      <c r="W129" s="70">
        <f t="shared" ca="1" si="32"/>
        <v>0</v>
      </c>
      <c r="X129" s="70">
        <f t="shared" ca="1" si="33"/>
        <v>0</v>
      </c>
      <c r="Y129" s="71">
        <f t="shared" ca="1" si="34"/>
        <v>59225.381169348693</v>
      </c>
      <c r="Z129" s="71">
        <f t="shared" ca="1" si="42"/>
        <v>0</v>
      </c>
      <c r="AA129" s="71">
        <f t="shared" ca="1" si="35"/>
        <v>0</v>
      </c>
      <c r="AB129" s="71">
        <f t="shared" ca="1" si="36"/>
        <v>67344.338750795505</v>
      </c>
      <c r="AC129" s="71">
        <f t="shared" ca="1" si="43"/>
        <v>0</v>
      </c>
      <c r="AD129" s="71">
        <f t="shared" ca="1" si="37"/>
        <v>0</v>
      </c>
      <c r="AE129" s="72">
        <f t="shared" si="38"/>
        <v>0</v>
      </c>
      <c r="AF129" s="73">
        <f>IF(A129&gt;入力設定!$B$6*12,0,IF(AND(ISNUMBER(C129),C129&gt;=0,C129&lt;=1),0,1))</f>
        <v>0</v>
      </c>
    </row>
    <row r="130" spans="1:32" ht="21" customHeight="1">
      <c r="A130" s="68">
        <f>125</f>
        <v>125</v>
      </c>
      <c r="B130" s="69">
        <f>EDATE(入力設定!$B$7,A130-1)</f>
        <v>50100</v>
      </c>
      <c r="C130" s="80">
        <f>INDEX(入力設定!$C$15:$C$24,INT((A130-1)/60)+1)</f>
        <v>0.03</v>
      </c>
      <c r="D130" s="70">
        <f t="shared" ca="1" si="39"/>
        <v>23624324.856265794</v>
      </c>
      <c r="E130" s="70">
        <f t="shared" ca="1" si="40"/>
        <v>256</v>
      </c>
      <c r="F130" s="70">
        <f ca="1">IF(D130+Z130&lt;0.000001,0,IF(D130&lt;0.000001,F129,IF(OR(AE130=1,AND(K129&gt;0,入力設定!$B$8="返済額軽減型",入力設定!$B$11="翌月")),IF(C130=0,D130/MAX(1,E130),D130*(C130/12)/(1-(1+C130/12)^(-MAX(1,E130)))),F129)))</f>
        <v>125052.99264303216</v>
      </c>
      <c r="G130" s="70">
        <f t="shared" ca="1" si="22"/>
        <v>125052.99264303216</v>
      </c>
      <c r="H130" s="70">
        <f t="shared" ca="1" si="23"/>
        <v>59060.812140664486</v>
      </c>
      <c r="I130" s="70">
        <f t="shared" ca="1" si="24"/>
        <v>65992.180502367672</v>
      </c>
      <c r="J130" s="70">
        <f>SUMIFS(入力設定!$G$5:$G$24,入力設定!$F$5:$F$24,A130)</f>
        <v>0</v>
      </c>
      <c r="K130" s="70">
        <f t="shared" ca="1" si="25"/>
        <v>0</v>
      </c>
      <c r="L130" s="70">
        <f ca="1">IF(K130&gt;0,入力設定!$B$9,0)</f>
        <v>0</v>
      </c>
      <c r="M130" s="70">
        <f t="shared" ca="1" si="26"/>
        <v>23558332.675763428</v>
      </c>
      <c r="N130" s="70">
        <f ca="1">IF(M130+AA130&lt;0.000001,0,IF(AND(K130&gt;0,入力設定!$B$8="期間短縮型",AA130&lt;0.000001,F130&gt;M130*C130/12),MAX(1,MIN(E130-1,IF(C130=0,ROUNDUP(M130/F130,0),ROUNDUP(-LN(1-M130*(C130/12)/F130)/LN(1+C130/12),0)))),MAX(1,E130-1)))</f>
        <v>255</v>
      </c>
      <c r="O130" s="70">
        <f t="shared" ca="1" si="27"/>
        <v>125052.99264303216</v>
      </c>
      <c r="P130" s="70">
        <f t="shared" ca="1" si="41"/>
        <v>26876470.817224521</v>
      </c>
      <c r="Q130" s="70">
        <f ca="1">IF(OR(A130&gt;入力設定!$B$6*12,P130+AC130&lt;0.000001),0,IF(P130&lt;0.000001,Q129,IF(AE130=1,IF(C130=0,P130/MAX(1,入力設定!$B$6*12-A130+1),P130*(C130/12)/(1-(1+C130/12)^(-MAX(1,入力設定!$B$6*12-A130+1)))),Q129)))</f>
        <v>128609.0218444733</v>
      </c>
      <c r="R130" s="70">
        <f ca="1">IF(P130+AC130&lt;0.000001,0,IF(A130=入力設定!$B$6*12,P130+AB130+AC130,MIN(Q130,P130+AB130+AC130)))</f>
        <v>128609.0218444733</v>
      </c>
      <c r="S130" s="70">
        <f t="shared" ca="1" si="28"/>
        <v>67191.177043061296</v>
      </c>
      <c r="T130" s="70">
        <f t="shared" ca="1" si="29"/>
        <v>61417.844801412008</v>
      </c>
      <c r="U130" s="70">
        <f t="shared" ca="1" si="30"/>
        <v>26815052.97242311</v>
      </c>
      <c r="V130" s="70">
        <f t="shared" ca="1" si="31"/>
        <v>0</v>
      </c>
      <c r="W130" s="70">
        <f t="shared" ca="1" si="32"/>
        <v>0</v>
      </c>
      <c r="X130" s="70">
        <f t="shared" ca="1" si="33"/>
        <v>0</v>
      </c>
      <c r="Y130" s="71">
        <f t="shared" ca="1" si="34"/>
        <v>59060.812140664486</v>
      </c>
      <c r="Z130" s="71">
        <f t="shared" ca="1" si="42"/>
        <v>0</v>
      </c>
      <c r="AA130" s="71">
        <f t="shared" ca="1" si="35"/>
        <v>0</v>
      </c>
      <c r="AB130" s="71">
        <f t="shared" ca="1" si="36"/>
        <v>67191.177043061296</v>
      </c>
      <c r="AC130" s="71">
        <f t="shared" ca="1" si="43"/>
        <v>0</v>
      </c>
      <c r="AD130" s="71">
        <f t="shared" ca="1" si="37"/>
        <v>0</v>
      </c>
      <c r="AE130" s="72">
        <f t="shared" si="38"/>
        <v>0</v>
      </c>
      <c r="AF130" s="73">
        <f>IF(A130&gt;入力設定!$B$6*12,0,IF(AND(ISNUMBER(C130),C130&gt;=0,C130&lt;=1),0,1))</f>
        <v>0</v>
      </c>
    </row>
    <row r="131" spans="1:32" ht="21" customHeight="1">
      <c r="A131" s="68">
        <f>126</f>
        <v>126</v>
      </c>
      <c r="B131" s="69">
        <f>EDATE(入力設定!$B$7,A131-1)</f>
        <v>50131</v>
      </c>
      <c r="C131" s="80">
        <f>INDEX(入力設定!$C$15:$C$24,INT((A131-1)/60)+1)</f>
        <v>0.03</v>
      </c>
      <c r="D131" s="70">
        <f t="shared" ca="1" si="39"/>
        <v>23558332.675763428</v>
      </c>
      <c r="E131" s="70">
        <f t="shared" ca="1" si="40"/>
        <v>255</v>
      </c>
      <c r="F131" s="70">
        <f ca="1">IF(D131+Z131&lt;0.000001,0,IF(D131&lt;0.000001,F130,IF(OR(AE131=1,AND(K130&gt;0,入力設定!$B$8="返済額軽減型",入力設定!$B$11="翌月")),IF(C131=0,D131/MAX(1,E131),D131*(C131/12)/(1-(1+C131/12)^(-MAX(1,E131)))),F130)))</f>
        <v>125052.99264303216</v>
      </c>
      <c r="G131" s="70">
        <f t="shared" ca="1" si="22"/>
        <v>125052.99264303216</v>
      </c>
      <c r="H131" s="70">
        <f t="shared" ca="1" si="23"/>
        <v>58895.831689408573</v>
      </c>
      <c r="I131" s="70">
        <f t="shared" ca="1" si="24"/>
        <v>66157.160953623592</v>
      </c>
      <c r="J131" s="70">
        <f>SUMIFS(入力設定!$G$5:$G$24,入力設定!$F$5:$F$24,A131)</f>
        <v>0</v>
      </c>
      <c r="K131" s="70">
        <f t="shared" ca="1" si="25"/>
        <v>0</v>
      </c>
      <c r="L131" s="70">
        <f ca="1">IF(K131&gt;0,入力設定!$B$9,0)</f>
        <v>0</v>
      </c>
      <c r="M131" s="70">
        <f t="shared" ca="1" si="26"/>
        <v>23492175.514809806</v>
      </c>
      <c r="N131" s="70">
        <f ca="1">IF(M131+AA131&lt;0.000001,0,IF(AND(K131&gt;0,入力設定!$B$8="期間短縮型",AA131&lt;0.000001,F131&gt;M131*C131/12),MAX(1,MIN(E131-1,IF(C131=0,ROUNDUP(M131/F131,0),ROUNDUP(-LN(1-M131*(C131/12)/F131)/LN(1+C131/12),0)))),MAX(1,E131-1)))</f>
        <v>254</v>
      </c>
      <c r="O131" s="70">
        <f t="shared" ca="1" si="27"/>
        <v>125052.99264303216</v>
      </c>
      <c r="P131" s="70">
        <f t="shared" ca="1" si="41"/>
        <v>26815052.97242311</v>
      </c>
      <c r="Q131" s="70">
        <f ca="1">IF(OR(A131&gt;入力設定!$B$6*12,P131+AC131&lt;0.000001),0,IF(P131&lt;0.000001,Q130,IF(AE131=1,IF(C131=0,P131/MAX(1,入力設定!$B$6*12-A131+1),P131*(C131/12)/(1-(1+C131/12)^(-MAX(1,入力設定!$B$6*12-A131+1)))),Q130)))</f>
        <v>128609.0218444733</v>
      </c>
      <c r="R131" s="70">
        <f ca="1">IF(P131+AC131&lt;0.000001,0,IF(A131=入力設定!$B$6*12,P131+AB131+AC131,MIN(Q131,P131+AB131+AC131)))</f>
        <v>128609.0218444733</v>
      </c>
      <c r="S131" s="70">
        <f t="shared" ca="1" si="28"/>
        <v>67037.632431057777</v>
      </c>
      <c r="T131" s="70">
        <f t="shared" ca="1" si="29"/>
        <v>61571.389413415527</v>
      </c>
      <c r="U131" s="70">
        <f t="shared" ca="1" si="30"/>
        <v>26753481.583009694</v>
      </c>
      <c r="V131" s="70">
        <f t="shared" ca="1" si="31"/>
        <v>0</v>
      </c>
      <c r="W131" s="70">
        <f t="shared" ca="1" si="32"/>
        <v>0</v>
      </c>
      <c r="X131" s="70">
        <f t="shared" ca="1" si="33"/>
        <v>0</v>
      </c>
      <c r="Y131" s="71">
        <f t="shared" ca="1" si="34"/>
        <v>58895.831689408573</v>
      </c>
      <c r="Z131" s="71">
        <f t="shared" ca="1" si="42"/>
        <v>0</v>
      </c>
      <c r="AA131" s="71">
        <f t="shared" ca="1" si="35"/>
        <v>0</v>
      </c>
      <c r="AB131" s="71">
        <f t="shared" ca="1" si="36"/>
        <v>67037.632431057777</v>
      </c>
      <c r="AC131" s="71">
        <f t="shared" ca="1" si="43"/>
        <v>0</v>
      </c>
      <c r="AD131" s="71">
        <f t="shared" ca="1" si="37"/>
        <v>0</v>
      </c>
      <c r="AE131" s="72">
        <f t="shared" si="38"/>
        <v>0</v>
      </c>
      <c r="AF131" s="73">
        <f>IF(A131&gt;入力設定!$B$6*12,0,IF(AND(ISNUMBER(C131),C131&gt;=0,C131&lt;=1),0,1))</f>
        <v>0</v>
      </c>
    </row>
    <row r="132" spans="1:32" ht="21" customHeight="1">
      <c r="A132" s="68">
        <f>127</f>
        <v>127</v>
      </c>
      <c r="B132" s="69">
        <f>EDATE(入力設定!$B$7,A132-1)</f>
        <v>50161</v>
      </c>
      <c r="C132" s="80">
        <f>INDEX(入力設定!$C$15:$C$24,INT((A132-1)/60)+1)</f>
        <v>0.03</v>
      </c>
      <c r="D132" s="70">
        <f t="shared" ca="1" si="39"/>
        <v>23492175.514809806</v>
      </c>
      <c r="E132" s="70">
        <f t="shared" ca="1" si="40"/>
        <v>254</v>
      </c>
      <c r="F132" s="70">
        <f ca="1">IF(D132+Z132&lt;0.000001,0,IF(D132&lt;0.000001,F131,IF(OR(AE132=1,AND(K131&gt;0,入力設定!$B$8="返済額軽減型",入力設定!$B$11="翌月")),IF(C132=0,D132/MAX(1,E132),D132*(C132/12)/(1-(1+C132/12)^(-MAX(1,E132)))),F131)))</f>
        <v>125052.99264303216</v>
      </c>
      <c r="G132" s="70">
        <f t="shared" ca="1" si="22"/>
        <v>125052.99264303216</v>
      </c>
      <c r="H132" s="70">
        <f t="shared" ca="1" si="23"/>
        <v>58730.438787024519</v>
      </c>
      <c r="I132" s="70">
        <f t="shared" ca="1" si="24"/>
        <v>66322.553856007638</v>
      </c>
      <c r="J132" s="70">
        <f>SUMIFS(入力設定!$G$5:$G$24,入力設定!$F$5:$F$24,A132)</f>
        <v>0</v>
      </c>
      <c r="K132" s="70">
        <f t="shared" ca="1" si="25"/>
        <v>0</v>
      </c>
      <c r="L132" s="70">
        <f ca="1">IF(K132&gt;0,入力設定!$B$9,0)</f>
        <v>0</v>
      </c>
      <c r="M132" s="70">
        <f t="shared" ca="1" si="26"/>
        <v>23425852.960953798</v>
      </c>
      <c r="N132" s="70">
        <f ca="1">IF(M132+AA132&lt;0.000001,0,IF(AND(K132&gt;0,入力設定!$B$8="期間短縮型",AA132&lt;0.000001,F132&gt;M132*C132/12),MAX(1,MIN(E132-1,IF(C132=0,ROUNDUP(M132/F132,0),ROUNDUP(-LN(1-M132*(C132/12)/F132)/LN(1+C132/12),0)))),MAX(1,E132-1)))</f>
        <v>253</v>
      </c>
      <c r="O132" s="70">
        <f t="shared" ca="1" si="27"/>
        <v>125052.99264303216</v>
      </c>
      <c r="P132" s="70">
        <f t="shared" ca="1" si="41"/>
        <v>26753481.583009694</v>
      </c>
      <c r="Q132" s="70">
        <f ca="1">IF(OR(A132&gt;入力設定!$B$6*12,P132+AC132&lt;0.000001),0,IF(P132&lt;0.000001,Q131,IF(AE132=1,IF(C132=0,P132/MAX(1,入力設定!$B$6*12-A132+1),P132*(C132/12)/(1-(1+C132/12)^(-MAX(1,入力設定!$B$6*12-A132+1)))),Q131)))</f>
        <v>128609.0218444733</v>
      </c>
      <c r="R132" s="70">
        <f ca="1">IF(P132+AC132&lt;0.000001,0,IF(A132=入力設定!$B$6*12,P132+AB132+AC132,MIN(Q132,P132+AB132+AC132)))</f>
        <v>128609.0218444733</v>
      </c>
      <c r="S132" s="70">
        <f t="shared" ca="1" si="28"/>
        <v>66883.703957524223</v>
      </c>
      <c r="T132" s="70">
        <f t="shared" ca="1" si="29"/>
        <v>61725.31788694908</v>
      </c>
      <c r="U132" s="70">
        <f t="shared" ca="1" si="30"/>
        <v>26691756.265122745</v>
      </c>
      <c r="V132" s="70">
        <f t="shared" ca="1" si="31"/>
        <v>0</v>
      </c>
      <c r="W132" s="70">
        <f t="shared" ca="1" si="32"/>
        <v>0</v>
      </c>
      <c r="X132" s="70">
        <f t="shared" ca="1" si="33"/>
        <v>0</v>
      </c>
      <c r="Y132" s="71">
        <f t="shared" ca="1" si="34"/>
        <v>58730.438787024519</v>
      </c>
      <c r="Z132" s="71">
        <f t="shared" ca="1" si="42"/>
        <v>0</v>
      </c>
      <c r="AA132" s="71">
        <f t="shared" ca="1" si="35"/>
        <v>0</v>
      </c>
      <c r="AB132" s="71">
        <f t="shared" ca="1" si="36"/>
        <v>66883.703957524223</v>
      </c>
      <c r="AC132" s="71">
        <f t="shared" ca="1" si="43"/>
        <v>0</v>
      </c>
      <c r="AD132" s="71">
        <f t="shared" ca="1" si="37"/>
        <v>0</v>
      </c>
      <c r="AE132" s="72">
        <f t="shared" si="38"/>
        <v>0</v>
      </c>
      <c r="AF132" s="73">
        <f>IF(A132&gt;入力設定!$B$6*12,0,IF(AND(ISNUMBER(C132),C132&gt;=0,C132&lt;=1),0,1))</f>
        <v>0</v>
      </c>
    </row>
    <row r="133" spans="1:32" ht="21" customHeight="1">
      <c r="A133" s="68">
        <f>128</f>
        <v>128</v>
      </c>
      <c r="B133" s="69">
        <f>EDATE(入力設定!$B$7,A133-1)</f>
        <v>50192</v>
      </c>
      <c r="C133" s="80">
        <f>INDEX(入力設定!$C$15:$C$24,INT((A133-1)/60)+1)</f>
        <v>0.03</v>
      </c>
      <c r="D133" s="70">
        <f t="shared" ca="1" si="39"/>
        <v>23425852.960953798</v>
      </c>
      <c r="E133" s="70">
        <f t="shared" ca="1" si="40"/>
        <v>253</v>
      </c>
      <c r="F133" s="70">
        <f ca="1">IF(D133+Z133&lt;0.000001,0,IF(D133&lt;0.000001,F132,IF(OR(AE133=1,AND(K132&gt;0,入力設定!$B$8="返済額軽減型",入力設定!$B$11="翌月")),IF(C133=0,D133/MAX(1,E133),D133*(C133/12)/(1-(1+C133/12)^(-MAX(1,E133)))),F132)))</f>
        <v>125052.99264303216</v>
      </c>
      <c r="G133" s="70">
        <f t="shared" ca="1" si="22"/>
        <v>125052.99264303216</v>
      </c>
      <c r="H133" s="70">
        <f t="shared" ca="1" si="23"/>
        <v>58564.632402384486</v>
      </c>
      <c r="I133" s="70">
        <f t="shared" ca="1" si="24"/>
        <v>66488.360240647686</v>
      </c>
      <c r="J133" s="70">
        <f>SUMIFS(入力設定!$G$5:$G$24,入力設定!$F$5:$F$24,A133)</f>
        <v>0</v>
      </c>
      <c r="K133" s="70">
        <f t="shared" ca="1" si="25"/>
        <v>0</v>
      </c>
      <c r="L133" s="70">
        <f ca="1">IF(K133&gt;0,入力設定!$B$9,0)</f>
        <v>0</v>
      </c>
      <c r="M133" s="70">
        <f t="shared" ca="1" si="26"/>
        <v>23359364.600713149</v>
      </c>
      <c r="N133" s="70">
        <f ca="1">IF(M133+AA133&lt;0.000001,0,IF(AND(K133&gt;0,入力設定!$B$8="期間短縮型",AA133&lt;0.000001,F133&gt;M133*C133/12),MAX(1,MIN(E133-1,IF(C133=0,ROUNDUP(M133/F133,0),ROUNDUP(-LN(1-M133*(C133/12)/F133)/LN(1+C133/12),0)))),MAX(1,E133-1)))</f>
        <v>252</v>
      </c>
      <c r="O133" s="70">
        <f t="shared" ca="1" si="27"/>
        <v>125052.99264303216</v>
      </c>
      <c r="P133" s="70">
        <f t="shared" ca="1" si="41"/>
        <v>26691756.265122745</v>
      </c>
      <c r="Q133" s="70">
        <f ca="1">IF(OR(A133&gt;入力設定!$B$6*12,P133+AC133&lt;0.000001),0,IF(P133&lt;0.000001,Q132,IF(AE133=1,IF(C133=0,P133/MAX(1,入力設定!$B$6*12-A133+1),P133*(C133/12)/(1-(1+C133/12)^(-MAX(1,入力設定!$B$6*12-A133+1)))),Q132)))</f>
        <v>128609.0218444733</v>
      </c>
      <c r="R133" s="70">
        <f ca="1">IF(P133+AC133&lt;0.000001,0,IF(A133=入力設定!$B$6*12,P133+AB133+AC133,MIN(Q133,P133+AB133+AC133)))</f>
        <v>128609.0218444733</v>
      </c>
      <c r="S133" s="70">
        <f t="shared" ca="1" si="28"/>
        <v>66729.390662806865</v>
      </c>
      <c r="T133" s="70">
        <f t="shared" ca="1" si="29"/>
        <v>61879.631181666438</v>
      </c>
      <c r="U133" s="70">
        <f t="shared" ca="1" si="30"/>
        <v>26629876.63394108</v>
      </c>
      <c r="V133" s="70">
        <f t="shared" ca="1" si="31"/>
        <v>0</v>
      </c>
      <c r="W133" s="70">
        <f t="shared" ca="1" si="32"/>
        <v>0</v>
      </c>
      <c r="X133" s="70">
        <f t="shared" ca="1" si="33"/>
        <v>0</v>
      </c>
      <c r="Y133" s="71">
        <f t="shared" ca="1" si="34"/>
        <v>58564.632402384486</v>
      </c>
      <c r="Z133" s="71">
        <f t="shared" ca="1" si="42"/>
        <v>0</v>
      </c>
      <c r="AA133" s="71">
        <f t="shared" ca="1" si="35"/>
        <v>0</v>
      </c>
      <c r="AB133" s="71">
        <f t="shared" ca="1" si="36"/>
        <v>66729.390662806865</v>
      </c>
      <c r="AC133" s="71">
        <f t="shared" ca="1" si="43"/>
        <v>0</v>
      </c>
      <c r="AD133" s="71">
        <f t="shared" ca="1" si="37"/>
        <v>0</v>
      </c>
      <c r="AE133" s="72">
        <f t="shared" si="38"/>
        <v>0</v>
      </c>
      <c r="AF133" s="73">
        <f>IF(A133&gt;入力設定!$B$6*12,0,IF(AND(ISNUMBER(C133),C133&gt;=0,C133&lt;=1),0,1))</f>
        <v>0</v>
      </c>
    </row>
    <row r="134" spans="1:32" ht="21" customHeight="1">
      <c r="A134" s="68">
        <f>129</f>
        <v>129</v>
      </c>
      <c r="B134" s="69">
        <f>EDATE(入力設定!$B$7,A134-1)</f>
        <v>50222</v>
      </c>
      <c r="C134" s="80">
        <f>INDEX(入力設定!$C$15:$C$24,INT((A134-1)/60)+1)</f>
        <v>0.03</v>
      </c>
      <c r="D134" s="70">
        <f t="shared" ca="1" si="39"/>
        <v>23359364.600713149</v>
      </c>
      <c r="E134" s="70">
        <f t="shared" ca="1" si="40"/>
        <v>252</v>
      </c>
      <c r="F134" s="70">
        <f ca="1">IF(D134+Z134&lt;0.000001,0,IF(D134&lt;0.000001,F133,IF(OR(AE134=1,AND(K133&gt;0,入力設定!$B$8="返済額軽減型",入力設定!$B$11="翌月")),IF(C134=0,D134/MAX(1,E134),D134*(C134/12)/(1-(1+C134/12)^(-MAX(1,E134)))),F133)))</f>
        <v>125052.99264303216</v>
      </c>
      <c r="G134" s="70">
        <f t="shared" ref="G134:G197" ca="1" si="44">IF(D134+Z134&lt;0.000001,0,IF(E134&lt;=1,D134+Y134+Z134,MIN(D134+Y134+Z134,F134)))</f>
        <v>125052.99264303216</v>
      </c>
      <c r="H134" s="70">
        <f t="shared" ref="H134:H197" ca="1" si="45">MIN(G134,Y134+Z134)</f>
        <v>58398.411501782866</v>
      </c>
      <c r="I134" s="70">
        <f t="shared" ref="I134:I197" ca="1" si="46">G134-H134</f>
        <v>66654.581141249306</v>
      </c>
      <c r="J134" s="70">
        <f>SUMIFS(入力設定!$G$5:$G$24,入力設定!$F$5:$F$24,A134)</f>
        <v>0</v>
      </c>
      <c r="K134" s="70">
        <f t="shared" ref="K134:K197" ca="1" si="47">MIN(MAX(0,D134-I134),J134)</f>
        <v>0</v>
      </c>
      <c r="L134" s="70">
        <f ca="1">IF(K134&gt;0,入力設定!$B$9,0)</f>
        <v>0</v>
      </c>
      <c r="M134" s="70">
        <f t="shared" ref="M134:M197" ca="1" si="48">MAX(0,D134-I134-K134)</f>
        <v>23292710.0195719</v>
      </c>
      <c r="N134" s="70">
        <f ca="1">IF(M134+AA134&lt;0.000001,0,IF(AND(K134&gt;0,入力設定!$B$8="期間短縮型",AA134&lt;0.000001,F134&gt;M134*C134/12),MAX(1,MIN(E134-1,IF(C134=0,ROUNDUP(M134/F134,0),ROUNDUP(-LN(1-M134*(C134/12)/F134)/LN(1+C134/12),0)))),MAX(1,E134-1)))</f>
        <v>251</v>
      </c>
      <c r="O134" s="70">
        <f t="shared" ref="O134:O197" ca="1" si="49">SUM(G134,K134,L134)</f>
        <v>125052.99264303216</v>
      </c>
      <c r="P134" s="70">
        <f t="shared" ca="1" si="41"/>
        <v>26629876.63394108</v>
      </c>
      <c r="Q134" s="70">
        <f ca="1">IF(OR(A134&gt;入力設定!$B$6*12,P134+AC134&lt;0.000001),0,IF(P134&lt;0.000001,Q133,IF(AE134=1,IF(C134=0,P134/MAX(1,入力設定!$B$6*12-A134+1),P134*(C134/12)/(1-(1+C134/12)^(-MAX(1,入力設定!$B$6*12-A134+1)))),Q133)))</f>
        <v>128609.0218444733</v>
      </c>
      <c r="R134" s="70">
        <f ca="1">IF(P134+AC134&lt;0.000001,0,IF(A134=入力設定!$B$6*12,P134+AB134+AC134,MIN(Q134,P134+AB134+AC134)))</f>
        <v>128609.0218444733</v>
      </c>
      <c r="S134" s="70">
        <f t="shared" ref="S134:S197" ca="1" si="50">MIN(R134,AB134+AC134)</f>
        <v>66574.691584852699</v>
      </c>
      <c r="T134" s="70">
        <f t="shared" ref="T134:T197" ca="1" si="51">R134-S134</f>
        <v>62034.330259620605</v>
      </c>
      <c r="U134" s="70">
        <f t="shared" ref="U134:U197" ca="1" si="52">MAX(0,P134-T134)</f>
        <v>26567842.303681459</v>
      </c>
      <c r="V134" s="70">
        <f t="shared" ref="V134:V197" ca="1" si="53">D134-I134-K134-M134</f>
        <v>0</v>
      </c>
      <c r="W134" s="70">
        <f t="shared" ref="W134:W197" ca="1" si="54">P134-T134-U134</f>
        <v>0</v>
      </c>
      <c r="X134" s="70">
        <f t="shared" ref="X134:X197" ca="1" si="55">O134-G134-K134-L134</f>
        <v>0</v>
      </c>
      <c r="Y134" s="71">
        <f t="shared" ref="Y134:Y197" ca="1" si="56">D134*C134/12</f>
        <v>58398.411501782866</v>
      </c>
      <c r="Z134" s="71">
        <f t="shared" ca="1" si="42"/>
        <v>0</v>
      </c>
      <c r="AA134" s="71">
        <f t="shared" ref="AA134:AA197" ca="1" si="57">MAX(0,Z134+Y134-H134)</f>
        <v>0</v>
      </c>
      <c r="AB134" s="71">
        <f t="shared" ref="AB134:AB197" ca="1" si="58">P134*C134/12</f>
        <v>66574.691584852699</v>
      </c>
      <c r="AC134" s="71">
        <f t="shared" ca="1" si="43"/>
        <v>0</v>
      </c>
      <c r="AD134" s="71">
        <f t="shared" ref="AD134:AD197" ca="1" si="59">MAX(0,AC134+AB134-S134)</f>
        <v>0</v>
      </c>
      <c r="AE134" s="72">
        <f t="shared" ref="AE134:AE197" si="60">IF(MOD(A134-1,60)=0,1,0)</f>
        <v>0</v>
      </c>
      <c r="AF134" s="73">
        <f>IF(A134&gt;入力設定!$B$6*12,0,IF(AND(ISNUMBER(C134),C134&gt;=0,C134&lt;=1),0,1))</f>
        <v>0</v>
      </c>
    </row>
    <row r="135" spans="1:32" ht="21" customHeight="1">
      <c r="A135" s="68">
        <f>130</f>
        <v>130</v>
      </c>
      <c r="B135" s="69">
        <f>EDATE(入力設定!$B$7,A135-1)</f>
        <v>50253</v>
      </c>
      <c r="C135" s="80">
        <f>INDEX(入力設定!$C$15:$C$24,INT((A135-1)/60)+1)</f>
        <v>0.03</v>
      </c>
      <c r="D135" s="70">
        <f t="shared" ref="D135:D198" ca="1" si="61">M134</f>
        <v>23292710.0195719</v>
      </c>
      <c r="E135" s="70">
        <f t="shared" ref="E135:E198" ca="1" si="62">N134</f>
        <v>251</v>
      </c>
      <c r="F135" s="70">
        <f ca="1">IF(D135+Z135&lt;0.000001,0,IF(D135&lt;0.000001,F134,IF(OR(AE135=1,AND(K134&gt;0,入力設定!$B$8="返済額軽減型",入力設定!$B$11="翌月")),IF(C135=0,D135/MAX(1,E135),D135*(C135/12)/(1-(1+C135/12)^(-MAX(1,E135)))),F134)))</f>
        <v>125052.99264303216</v>
      </c>
      <c r="G135" s="70">
        <f t="shared" ca="1" si="44"/>
        <v>125052.99264303216</v>
      </c>
      <c r="H135" s="70">
        <f t="shared" ca="1" si="45"/>
        <v>58231.775048929754</v>
      </c>
      <c r="I135" s="70">
        <f t="shared" ca="1" si="46"/>
        <v>66821.217594102403</v>
      </c>
      <c r="J135" s="70">
        <f>SUMIFS(入力設定!$G$5:$G$24,入力設定!$F$5:$F$24,A135)</f>
        <v>0</v>
      </c>
      <c r="K135" s="70">
        <f t="shared" ca="1" si="47"/>
        <v>0</v>
      </c>
      <c r="L135" s="70">
        <f ca="1">IF(K135&gt;0,入力設定!$B$9,0)</f>
        <v>0</v>
      </c>
      <c r="M135" s="70">
        <f t="shared" ca="1" si="48"/>
        <v>23225888.801977798</v>
      </c>
      <c r="N135" s="70">
        <f ca="1">IF(M135+AA135&lt;0.000001,0,IF(AND(K135&gt;0,入力設定!$B$8="期間短縮型",AA135&lt;0.000001,F135&gt;M135*C135/12),MAX(1,MIN(E135-1,IF(C135=0,ROUNDUP(M135/F135,0),ROUNDUP(-LN(1-M135*(C135/12)/F135)/LN(1+C135/12),0)))),MAX(1,E135-1)))</f>
        <v>250</v>
      </c>
      <c r="O135" s="70">
        <f t="shared" ca="1" si="49"/>
        <v>125052.99264303216</v>
      </c>
      <c r="P135" s="70">
        <f t="shared" ref="P135:P198" ca="1" si="63">U134</f>
        <v>26567842.303681459</v>
      </c>
      <c r="Q135" s="70">
        <f ca="1">IF(OR(A135&gt;入力設定!$B$6*12,P135+AC135&lt;0.000001),0,IF(P135&lt;0.000001,Q134,IF(AE135=1,IF(C135=0,P135/MAX(1,入力設定!$B$6*12-A135+1),P135*(C135/12)/(1-(1+C135/12)^(-MAX(1,入力設定!$B$6*12-A135+1)))),Q134)))</f>
        <v>128609.0218444733</v>
      </c>
      <c r="R135" s="70">
        <f ca="1">IF(P135+AC135&lt;0.000001,0,IF(A135=入力設定!$B$6*12,P135+AB135+AC135,MIN(Q135,P135+AB135+AC135)))</f>
        <v>128609.0218444733</v>
      </c>
      <c r="S135" s="70">
        <f t="shared" ca="1" si="50"/>
        <v>66419.605759203652</v>
      </c>
      <c r="T135" s="70">
        <f t="shared" ca="1" si="51"/>
        <v>62189.416085269651</v>
      </c>
      <c r="U135" s="70">
        <f t="shared" ca="1" si="52"/>
        <v>26505652.88759619</v>
      </c>
      <c r="V135" s="70">
        <f t="shared" ca="1" si="53"/>
        <v>0</v>
      </c>
      <c r="W135" s="70">
        <f t="shared" ca="1" si="54"/>
        <v>0</v>
      </c>
      <c r="X135" s="70">
        <f t="shared" ca="1" si="55"/>
        <v>0</v>
      </c>
      <c r="Y135" s="71">
        <f t="shared" ca="1" si="56"/>
        <v>58231.775048929754</v>
      </c>
      <c r="Z135" s="71">
        <f t="shared" ref="Z135:Z198" ca="1" si="64">AA134</f>
        <v>0</v>
      </c>
      <c r="AA135" s="71">
        <f t="shared" ca="1" si="57"/>
        <v>0</v>
      </c>
      <c r="AB135" s="71">
        <f t="shared" ca="1" si="58"/>
        <v>66419.605759203652</v>
      </c>
      <c r="AC135" s="71">
        <f t="shared" ref="AC135:AC198" ca="1" si="65">AD134</f>
        <v>0</v>
      </c>
      <c r="AD135" s="71">
        <f t="shared" ca="1" si="59"/>
        <v>0</v>
      </c>
      <c r="AE135" s="72">
        <f t="shared" si="60"/>
        <v>0</v>
      </c>
      <c r="AF135" s="73">
        <f>IF(A135&gt;入力設定!$B$6*12,0,IF(AND(ISNUMBER(C135),C135&gt;=0,C135&lt;=1),0,1))</f>
        <v>0</v>
      </c>
    </row>
    <row r="136" spans="1:32" ht="21" customHeight="1">
      <c r="A136" s="68">
        <f>131</f>
        <v>131</v>
      </c>
      <c r="B136" s="69">
        <f>EDATE(入力設定!$B$7,A136-1)</f>
        <v>50284</v>
      </c>
      <c r="C136" s="80">
        <f>INDEX(入力設定!$C$15:$C$24,INT((A136-1)/60)+1)</f>
        <v>0.03</v>
      </c>
      <c r="D136" s="70">
        <f t="shared" ca="1" si="61"/>
        <v>23225888.801977798</v>
      </c>
      <c r="E136" s="70">
        <f t="shared" ca="1" si="62"/>
        <v>250</v>
      </c>
      <c r="F136" s="70">
        <f ca="1">IF(D136+Z136&lt;0.000001,0,IF(D136&lt;0.000001,F135,IF(OR(AE136=1,AND(K135&gt;0,入力設定!$B$8="返済額軽減型",入力設定!$B$11="翌月")),IF(C136=0,D136/MAX(1,E136),D136*(C136/12)/(1-(1+C136/12)^(-MAX(1,E136)))),F135)))</f>
        <v>125052.99264303216</v>
      </c>
      <c r="G136" s="70">
        <f t="shared" ca="1" si="44"/>
        <v>125052.99264303216</v>
      </c>
      <c r="H136" s="70">
        <f t="shared" ca="1" si="45"/>
        <v>58064.722004944495</v>
      </c>
      <c r="I136" s="70">
        <f t="shared" ca="1" si="46"/>
        <v>66988.270638087677</v>
      </c>
      <c r="J136" s="70">
        <f>SUMIFS(入力設定!$G$5:$G$24,入力設定!$F$5:$F$24,A136)</f>
        <v>0</v>
      </c>
      <c r="K136" s="70">
        <f t="shared" ca="1" si="47"/>
        <v>0</v>
      </c>
      <c r="L136" s="70">
        <f ca="1">IF(K136&gt;0,入力設定!$B$9,0)</f>
        <v>0</v>
      </c>
      <c r="M136" s="70">
        <f t="shared" ca="1" si="48"/>
        <v>23158900.531339712</v>
      </c>
      <c r="N136" s="70">
        <f ca="1">IF(M136+AA136&lt;0.000001,0,IF(AND(K136&gt;0,入力設定!$B$8="期間短縮型",AA136&lt;0.000001,F136&gt;M136*C136/12),MAX(1,MIN(E136-1,IF(C136=0,ROUNDUP(M136/F136,0),ROUNDUP(-LN(1-M136*(C136/12)/F136)/LN(1+C136/12),0)))),MAX(1,E136-1)))</f>
        <v>249</v>
      </c>
      <c r="O136" s="70">
        <f t="shared" ca="1" si="49"/>
        <v>125052.99264303216</v>
      </c>
      <c r="P136" s="70">
        <f t="shared" ca="1" si="63"/>
        <v>26505652.88759619</v>
      </c>
      <c r="Q136" s="70">
        <f ca="1">IF(OR(A136&gt;入力設定!$B$6*12,P136+AC136&lt;0.000001),0,IF(P136&lt;0.000001,Q135,IF(AE136=1,IF(C136=0,P136/MAX(1,入力設定!$B$6*12-A136+1),P136*(C136/12)/(1-(1+C136/12)^(-MAX(1,入力設定!$B$6*12-A136+1)))),Q135)))</f>
        <v>128609.0218444733</v>
      </c>
      <c r="R136" s="70">
        <f ca="1">IF(P136+AC136&lt;0.000001,0,IF(A136=入力設定!$B$6*12,P136+AB136+AC136,MIN(Q136,P136+AB136+AC136)))</f>
        <v>128609.0218444733</v>
      </c>
      <c r="S136" s="70">
        <f t="shared" ca="1" si="50"/>
        <v>66264.132218990475</v>
      </c>
      <c r="T136" s="70">
        <f t="shared" ca="1" si="51"/>
        <v>62344.889625482829</v>
      </c>
      <c r="U136" s="70">
        <f t="shared" ca="1" si="52"/>
        <v>26443307.997970708</v>
      </c>
      <c r="V136" s="70">
        <f t="shared" ca="1" si="53"/>
        <v>0</v>
      </c>
      <c r="W136" s="70">
        <f t="shared" ca="1" si="54"/>
        <v>0</v>
      </c>
      <c r="X136" s="70">
        <f t="shared" ca="1" si="55"/>
        <v>0</v>
      </c>
      <c r="Y136" s="71">
        <f t="shared" ca="1" si="56"/>
        <v>58064.722004944495</v>
      </c>
      <c r="Z136" s="71">
        <f t="shared" ca="1" si="64"/>
        <v>0</v>
      </c>
      <c r="AA136" s="71">
        <f t="shared" ca="1" si="57"/>
        <v>0</v>
      </c>
      <c r="AB136" s="71">
        <f t="shared" ca="1" si="58"/>
        <v>66264.132218990475</v>
      </c>
      <c r="AC136" s="71">
        <f t="shared" ca="1" si="65"/>
        <v>0</v>
      </c>
      <c r="AD136" s="71">
        <f t="shared" ca="1" si="59"/>
        <v>0</v>
      </c>
      <c r="AE136" s="72">
        <f t="shared" si="60"/>
        <v>0</v>
      </c>
      <c r="AF136" s="73">
        <f>IF(A136&gt;入力設定!$B$6*12,0,IF(AND(ISNUMBER(C136),C136&gt;=0,C136&lt;=1),0,1))</f>
        <v>0</v>
      </c>
    </row>
    <row r="137" spans="1:32" ht="21" customHeight="1">
      <c r="A137" s="68">
        <f>132</f>
        <v>132</v>
      </c>
      <c r="B137" s="69">
        <f>EDATE(入力設定!$B$7,A137-1)</f>
        <v>50314</v>
      </c>
      <c r="C137" s="80">
        <f>INDEX(入力設定!$C$15:$C$24,INT((A137-1)/60)+1)</f>
        <v>0.03</v>
      </c>
      <c r="D137" s="70">
        <f t="shared" ca="1" si="61"/>
        <v>23158900.531339712</v>
      </c>
      <c r="E137" s="70">
        <f t="shared" ca="1" si="62"/>
        <v>249</v>
      </c>
      <c r="F137" s="70">
        <f ca="1">IF(D137+Z137&lt;0.000001,0,IF(D137&lt;0.000001,F136,IF(OR(AE137=1,AND(K136&gt;0,入力設定!$B$8="返済額軽減型",入力設定!$B$11="翌月")),IF(C137=0,D137/MAX(1,E137),D137*(C137/12)/(1-(1+C137/12)^(-MAX(1,E137)))),F136)))</f>
        <v>125052.99264303216</v>
      </c>
      <c r="G137" s="70">
        <f t="shared" ca="1" si="44"/>
        <v>125052.99264303216</v>
      </c>
      <c r="H137" s="70">
        <f t="shared" ca="1" si="45"/>
        <v>57897.251328349281</v>
      </c>
      <c r="I137" s="70">
        <f t="shared" ca="1" si="46"/>
        <v>67155.741314682877</v>
      </c>
      <c r="J137" s="70">
        <f>SUMIFS(入力設定!$G$5:$G$24,入力設定!$F$5:$F$24,A137)</f>
        <v>0</v>
      </c>
      <c r="K137" s="70">
        <f t="shared" ca="1" si="47"/>
        <v>0</v>
      </c>
      <c r="L137" s="70">
        <f ca="1">IF(K137&gt;0,入力設定!$B$9,0)</f>
        <v>0</v>
      </c>
      <c r="M137" s="70">
        <f t="shared" ca="1" si="48"/>
        <v>23091744.790025029</v>
      </c>
      <c r="N137" s="70">
        <f ca="1">IF(M137+AA137&lt;0.000001,0,IF(AND(K137&gt;0,入力設定!$B$8="期間短縮型",AA137&lt;0.000001,F137&gt;M137*C137/12),MAX(1,MIN(E137-1,IF(C137=0,ROUNDUP(M137/F137,0),ROUNDUP(-LN(1-M137*(C137/12)/F137)/LN(1+C137/12),0)))),MAX(1,E137-1)))</f>
        <v>248</v>
      </c>
      <c r="O137" s="70">
        <f t="shared" ca="1" si="49"/>
        <v>125052.99264303216</v>
      </c>
      <c r="P137" s="70">
        <f t="shared" ca="1" si="63"/>
        <v>26443307.997970708</v>
      </c>
      <c r="Q137" s="70">
        <f ca="1">IF(OR(A137&gt;入力設定!$B$6*12,P137+AC137&lt;0.000001),0,IF(P137&lt;0.000001,Q136,IF(AE137=1,IF(C137=0,P137/MAX(1,入力設定!$B$6*12-A137+1),P137*(C137/12)/(1-(1+C137/12)^(-MAX(1,入力設定!$B$6*12-A137+1)))),Q136)))</f>
        <v>128609.0218444733</v>
      </c>
      <c r="R137" s="70">
        <f ca="1">IF(P137+AC137&lt;0.000001,0,IF(A137=入力設定!$B$6*12,P137+AB137+AC137,MIN(Q137,P137+AB137+AC137)))</f>
        <v>128609.0218444733</v>
      </c>
      <c r="S137" s="70">
        <f t="shared" ca="1" si="50"/>
        <v>66108.26999492677</v>
      </c>
      <c r="T137" s="70">
        <f t="shared" ca="1" si="51"/>
        <v>62500.751849546534</v>
      </c>
      <c r="U137" s="70">
        <f t="shared" ca="1" si="52"/>
        <v>26380807.246121161</v>
      </c>
      <c r="V137" s="70">
        <f t="shared" ca="1" si="53"/>
        <v>0</v>
      </c>
      <c r="W137" s="70">
        <f t="shared" ca="1" si="54"/>
        <v>0</v>
      </c>
      <c r="X137" s="70">
        <f t="shared" ca="1" si="55"/>
        <v>0</v>
      </c>
      <c r="Y137" s="71">
        <f t="shared" ca="1" si="56"/>
        <v>57897.251328349281</v>
      </c>
      <c r="Z137" s="71">
        <f t="shared" ca="1" si="64"/>
        <v>0</v>
      </c>
      <c r="AA137" s="71">
        <f t="shared" ca="1" si="57"/>
        <v>0</v>
      </c>
      <c r="AB137" s="71">
        <f t="shared" ca="1" si="58"/>
        <v>66108.26999492677</v>
      </c>
      <c r="AC137" s="71">
        <f t="shared" ca="1" si="65"/>
        <v>0</v>
      </c>
      <c r="AD137" s="71">
        <f t="shared" ca="1" si="59"/>
        <v>0</v>
      </c>
      <c r="AE137" s="72">
        <f t="shared" si="60"/>
        <v>0</v>
      </c>
      <c r="AF137" s="73">
        <f>IF(A137&gt;入力設定!$B$6*12,0,IF(AND(ISNUMBER(C137),C137&gt;=0,C137&lt;=1),0,1))</f>
        <v>0</v>
      </c>
    </row>
    <row r="138" spans="1:32" ht="21" customHeight="1">
      <c r="A138" s="68">
        <f>133</f>
        <v>133</v>
      </c>
      <c r="B138" s="69">
        <f>EDATE(入力設定!$B$7,A138-1)</f>
        <v>50345</v>
      </c>
      <c r="C138" s="80">
        <f>INDEX(入力設定!$C$15:$C$24,INT((A138-1)/60)+1)</f>
        <v>0.03</v>
      </c>
      <c r="D138" s="70">
        <f t="shared" ca="1" si="61"/>
        <v>23091744.790025029</v>
      </c>
      <c r="E138" s="70">
        <f t="shared" ca="1" si="62"/>
        <v>248</v>
      </c>
      <c r="F138" s="70">
        <f ca="1">IF(D138+Z138&lt;0.000001,0,IF(D138&lt;0.000001,F137,IF(OR(AE138=1,AND(K137&gt;0,入力設定!$B$8="返済額軽減型",入力設定!$B$11="翌月")),IF(C138=0,D138/MAX(1,E138),D138*(C138/12)/(1-(1+C138/12)^(-MAX(1,E138)))),F137)))</f>
        <v>125052.99264303216</v>
      </c>
      <c r="G138" s="70">
        <f t="shared" ca="1" si="44"/>
        <v>125052.99264303216</v>
      </c>
      <c r="H138" s="70">
        <f t="shared" ca="1" si="45"/>
        <v>57729.361975062573</v>
      </c>
      <c r="I138" s="70">
        <f t="shared" ca="1" si="46"/>
        <v>67323.630667969584</v>
      </c>
      <c r="J138" s="70">
        <f>SUMIFS(入力設定!$G$5:$G$24,入力設定!$F$5:$F$24,A138)</f>
        <v>0</v>
      </c>
      <c r="K138" s="70">
        <f t="shared" ca="1" si="47"/>
        <v>0</v>
      </c>
      <c r="L138" s="70">
        <f ca="1">IF(K138&gt;0,入力設定!$B$9,0)</f>
        <v>0</v>
      </c>
      <c r="M138" s="70">
        <f t="shared" ca="1" si="48"/>
        <v>23024421.15935706</v>
      </c>
      <c r="N138" s="70">
        <f ca="1">IF(M138+AA138&lt;0.000001,0,IF(AND(K138&gt;0,入力設定!$B$8="期間短縮型",AA138&lt;0.000001,F138&gt;M138*C138/12),MAX(1,MIN(E138-1,IF(C138=0,ROUNDUP(M138/F138,0),ROUNDUP(-LN(1-M138*(C138/12)/F138)/LN(1+C138/12),0)))),MAX(1,E138-1)))</f>
        <v>247</v>
      </c>
      <c r="O138" s="70">
        <f t="shared" ca="1" si="49"/>
        <v>125052.99264303216</v>
      </c>
      <c r="P138" s="70">
        <f t="shared" ca="1" si="63"/>
        <v>26380807.246121161</v>
      </c>
      <c r="Q138" s="70">
        <f ca="1">IF(OR(A138&gt;入力設定!$B$6*12,P138+AC138&lt;0.000001),0,IF(P138&lt;0.000001,Q137,IF(AE138=1,IF(C138=0,P138/MAX(1,入力設定!$B$6*12-A138+1),P138*(C138/12)/(1-(1+C138/12)^(-MAX(1,入力設定!$B$6*12-A138+1)))),Q137)))</f>
        <v>128609.0218444733</v>
      </c>
      <c r="R138" s="70">
        <f ca="1">IF(P138+AC138&lt;0.000001,0,IF(A138=入力設定!$B$6*12,P138+AB138+AC138,MIN(Q138,P138+AB138+AC138)))</f>
        <v>128609.0218444733</v>
      </c>
      <c r="S138" s="70">
        <f t="shared" ca="1" si="50"/>
        <v>65952.018115302897</v>
      </c>
      <c r="T138" s="70">
        <f t="shared" ca="1" si="51"/>
        <v>62657.003729170407</v>
      </c>
      <c r="U138" s="70">
        <f t="shared" ca="1" si="52"/>
        <v>26318150.242391989</v>
      </c>
      <c r="V138" s="70">
        <f t="shared" ca="1" si="53"/>
        <v>0</v>
      </c>
      <c r="W138" s="70">
        <f t="shared" ca="1" si="54"/>
        <v>0</v>
      </c>
      <c r="X138" s="70">
        <f t="shared" ca="1" si="55"/>
        <v>0</v>
      </c>
      <c r="Y138" s="71">
        <f t="shared" ca="1" si="56"/>
        <v>57729.361975062573</v>
      </c>
      <c r="Z138" s="71">
        <f t="shared" ca="1" si="64"/>
        <v>0</v>
      </c>
      <c r="AA138" s="71">
        <f t="shared" ca="1" si="57"/>
        <v>0</v>
      </c>
      <c r="AB138" s="71">
        <f t="shared" ca="1" si="58"/>
        <v>65952.018115302897</v>
      </c>
      <c r="AC138" s="71">
        <f t="shared" ca="1" si="65"/>
        <v>0</v>
      </c>
      <c r="AD138" s="71">
        <f t="shared" ca="1" si="59"/>
        <v>0</v>
      </c>
      <c r="AE138" s="72">
        <f t="shared" si="60"/>
        <v>0</v>
      </c>
      <c r="AF138" s="73">
        <f>IF(A138&gt;入力設定!$B$6*12,0,IF(AND(ISNUMBER(C138),C138&gt;=0,C138&lt;=1),0,1))</f>
        <v>0</v>
      </c>
    </row>
    <row r="139" spans="1:32" ht="21" customHeight="1">
      <c r="A139" s="68">
        <f>134</f>
        <v>134</v>
      </c>
      <c r="B139" s="69">
        <f>EDATE(入力設定!$B$7,A139-1)</f>
        <v>50375</v>
      </c>
      <c r="C139" s="80">
        <f>INDEX(入力設定!$C$15:$C$24,INT((A139-1)/60)+1)</f>
        <v>0.03</v>
      </c>
      <c r="D139" s="70">
        <f t="shared" ca="1" si="61"/>
        <v>23024421.15935706</v>
      </c>
      <c r="E139" s="70">
        <f t="shared" ca="1" si="62"/>
        <v>247</v>
      </c>
      <c r="F139" s="70">
        <f ca="1">IF(D139+Z139&lt;0.000001,0,IF(D139&lt;0.000001,F138,IF(OR(AE139=1,AND(K138&gt;0,入力設定!$B$8="返済額軽減型",入力設定!$B$11="翌月")),IF(C139=0,D139/MAX(1,E139),D139*(C139/12)/(1-(1+C139/12)^(-MAX(1,E139)))),F138)))</f>
        <v>125052.99264303216</v>
      </c>
      <c r="G139" s="70">
        <f t="shared" ca="1" si="44"/>
        <v>125052.99264303216</v>
      </c>
      <c r="H139" s="70">
        <f t="shared" ca="1" si="45"/>
        <v>57561.052898392642</v>
      </c>
      <c r="I139" s="70">
        <f t="shared" ca="1" si="46"/>
        <v>67491.939744639531</v>
      </c>
      <c r="J139" s="70">
        <f>SUMIFS(入力設定!$G$5:$G$24,入力設定!$F$5:$F$24,A139)</f>
        <v>0</v>
      </c>
      <c r="K139" s="70">
        <f t="shared" ca="1" si="47"/>
        <v>0</v>
      </c>
      <c r="L139" s="70">
        <f ca="1">IF(K139&gt;0,入力設定!$B$9,0)</f>
        <v>0</v>
      </c>
      <c r="M139" s="70">
        <f t="shared" ca="1" si="48"/>
        <v>22956929.21961242</v>
      </c>
      <c r="N139" s="70">
        <f ca="1">IF(M139+AA139&lt;0.000001,0,IF(AND(K139&gt;0,入力設定!$B$8="期間短縮型",AA139&lt;0.000001,F139&gt;M139*C139/12),MAX(1,MIN(E139-1,IF(C139=0,ROUNDUP(M139/F139,0),ROUNDUP(-LN(1-M139*(C139/12)/F139)/LN(1+C139/12),0)))),MAX(1,E139-1)))</f>
        <v>246</v>
      </c>
      <c r="O139" s="70">
        <f t="shared" ca="1" si="49"/>
        <v>125052.99264303216</v>
      </c>
      <c r="P139" s="70">
        <f t="shared" ca="1" si="63"/>
        <v>26318150.242391989</v>
      </c>
      <c r="Q139" s="70">
        <f ca="1">IF(OR(A139&gt;入力設定!$B$6*12,P139+AC139&lt;0.000001),0,IF(P139&lt;0.000001,Q138,IF(AE139=1,IF(C139=0,P139/MAX(1,入力設定!$B$6*12-A139+1),P139*(C139/12)/(1-(1+C139/12)^(-MAX(1,入力設定!$B$6*12-A139+1)))),Q138)))</f>
        <v>128609.0218444733</v>
      </c>
      <c r="R139" s="70">
        <f ca="1">IF(P139+AC139&lt;0.000001,0,IF(A139=入力設定!$B$6*12,P139+AB139+AC139,MIN(Q139,P139+AB139+AC139)))</f>
        <v>128609.0218444733</v>
      </c>
      <c r="S139" s="70">
        <f t="shared" ca="1" si="50"/>
        <v>65795.375605979978</v>
      </c>
      <c r="T139" s="70">
        <f t="shared" ca="1" si="51"/>
        <v>62813.646238493326</v>
      </c>
      <c r="U139" s="70">
        <f t="shared" ca="1" si="52"/>
        <v>26255336.596153494</v>
      </c>
      <c r="V139" s="70">
        <f t="shared" ca="1" si="53"/>
        <v>0</v>
      </c>
      <c r="W139" s="70">
        <f t="shared" ca="1" si="54"/>
        <v>0</v>
      </c>
      <c r="X139" s="70">
        <f t="shared" ca="1" si="55"/>
        <v>0</v>
      </c>
      <c r="Y139" s="71">
        <f t="shared" ca="1" si="56"/>
        <v>57561.052898392642</v>
      </c>
      <c r="Z139" s="71">
        <f t="shared" ca="1" si="64"/>
        <v>0</v>
      </c>
      <c r="AA139" s="71">
        <f t="shared" ca="1" si="57"/>
        <v>0</v>
      </c>
      <c r="AB139" s="71">
        <f t="shared" ca="1" si="58"/>
        <v>65795.375605979978</v>
      </c>
      <c r="AC139" s="71">
        <f t="shared" ca="1" si="65"/>
        <v>0</v>
      </c>
      <c r="AD139" s="71">
        <f t="shared" ca="1" si="59"/>
        <v>0</v>
      </c>
      <c r="AE139" s="72">
        <f t="shared" si="60"/>
        <v>0</v>
      </c>
      <c r="AF139" s="73">
        <f>IF(A139&gt;入力設定!$B$6*12,0,IF(AND(ISNUMBER(C139),C139&gt;=0,C139&lt;=1),0,1))</f>
        <v>0</v>
      </c>
    </row>
    <row r="140" spans="1:32" ht="21" customHeight="1">
      <c r="A140" s="68">
        <f>135</f>
        <v>135</v>
      </c>
      <c r="B140" s="69">
        <f>EDATE(入力設定!$B$7,A140-1)</f>
        <v>50406</v>
      </c>
      <c r="C140" s="80">
        <f>INDEX(入力設定!$C$15:$C$24,INT((A140-1)/60)+1)</f>
        <v>0.03</v>
      </c>
      <c r="D140" s="70">
        <f t="shared" ca="1" si="61"/>
        <v>22956929.21961242</v>
      </c>
      <c r="E140" s="70">
        <f t="shared" ca="1" si="62"/>
        <v>246</v>
      </c>
      <c r="F140" s="70">
        <f ca="1">IF(D140+Z140&lt;0.000001,0,IF(D140&lt;0.000001,F139,IF(OR(AE140=1,AND(K139&gt;0,入力設定!$B$8="返済額軽減型",入力設定!$B$11="翌月")),IF(C140=0,D140/MAX(1,E140),D140*(C140/12)/(1-(1+C140/12)^(-MAX(1,E140)))),F139)))</f>
        <v>125052.99264303216</v>
      </c>
      <c r="G140" s="70">
        <f t="shared" ca="1" si="44"/>
        <v>125052.99264303216</v>
      </c>
      <c r="H140" s="70">
        <f t="shared" ca="1" si="45"/>
        <v>57392.323049031045</v>
      </c>
      <c r="I140" s="70">
        <f t="shared" ca="1" si="46"/>
        <v>67660.669594001112</v>
      </c>
      <c r="J140" s="70">
        <f>SUMIFS(入力設定!$G$5:$G$24,入力設定!$F$5:$F$24,A140)</f>
        <v>0</v>
      </c>
      <c r="K140" s="70">
        <f t="shared" ca="1" si="47"/>
        <v>0</v>
      </c>
      <c r="L140" s="70">
        <f ca="1">IF(K140&gt;0,入力設定!$B$9,0)</f>
        <v>0</v>
      </c>
      <c r="M140" s="70">
        <f t="shared" ca="1" si="48"/>
        <v>22889268.550018419</v>
      </c>
      <c r="N140" s="70">
        <f ca="1">IF(M140+AA140&lt;0.000001,0,IF(AND(K140&gt;0,入力設定!$B$8="期間短縮型",AA140&lt;0.000001,F140&gt;M140*C140/12),MAX(1,MIN(E140-1,IF(C140=0,ROUNDUP(M140/F140,0),ROUNDUP(-LN(1-M140*(C140/12)/F140)/LN(1+C140/12),0)))),MAX(1,E140-1)))</f>
        <v>245</v>
      </c>
      <c r="O140" s="70">
        <f t="shared" ca="1" si="49"/>
        <v>125052.99264303216</v>
      </c>
      <c r="P140" s="70">
        <f t="shared" ca="1" si="63"/>
        <v>26255336.596153494</v>
      </c>
      <c r="Q140" s="70">
        <f ca="1">IF(OR(A140&gt;入力設定!$B$6*12,P140+AC140&lt;0.000001),0,IF(P140&lt;0.000001,Q139,IF(AE140=1,IF(C140=0,P140/MAX(1,入力設定!$B$6*12-A140+1),P140*(C140/12)/(1-(1+C140/12)^(-MAX(1,入力設定!$B$6*12-A140+1)))),Q139)))</f>
        <v>128609.0218444733</v>
      </c>
      <c r="R140" s="70">
        <f ca="1">IF(P140+AC140&lt;0.000001,0,IF(A140=入力設定!$B$6*12,P140+AB140+AC140,MIN(Q140,P140+AB140+AC140)))</f>
        <v>128609.0218444733</v>
      </c>
      <c r="S140" s="70">
        <f t="shared" ca="1" si="50"/>
        <v>65638.34149038374</v>
      </c>
      <c r="T140" s="70">
        <f t="shared" ca="1" si="51"/>
        <v>62970.680354089563</v>
      </c>
      <c r="U140" s="70">
        <f t="shared" ca="1" si="52"/>
        <v>26192365.915799405</v>
      </c>
      <c r="V140" s="70">
        <f t="shared" ca="1" si="53"/>
        <v>0</v>
      </c>
      <c r="W140" s="70">
        <f t="shared" ca="1" si="54"/>
        <v>0</v>
      </c>
      <c r="X140" s="70">
        <f t="shared" ca="1" si="55"/>
        <v>0</v>
      </c>
      <c r="Y140" s="71">
        <f t="shared" ca="1" si="56"/>
        <v>57392.323049031045</v>
      </c>
      <c r="Z140" s="71">
        <f t="shared" ca="1" si="64"/>
        <v>0</v>
      </c>
      <c r="AA140" s="71">
        <f t="shared" ca="1" si="57"/>
        <v>0</v>
      </c>
      <c r="AB140" s="71">
        <f t="shared" ca="1" si="58"/>
        <v>65638.34149038374</v>
      </c>
      <c r="AC140" s="71">
        <f t="shared" ca="1" si="65"/>
        <v>0</v>
      </c>
      <c r="AD140" s="71">
        <f t="shared" ca="1" si="59"/>
        <v>0</v>
      </c>
      <c r="AE140" s="72">
        <f t="shared" si="60"/>
        <v>0</v>
      </c>
      <c r="AF140" s="73">
        <f>IF(A140&gt;入力設定!$B$6*12,0,IF(AND(ISNUMBER(C140),C140&gt;=0,C140&lt;=1),0,1))</f>
        <v>0</v>
      </c>
    </row>
    <row r="141" spans="1:32" ht="21" customHeight="1">
      <c r="A141" s="68">
        <f>136</f>
        <v>136</v>
      </c>
      <c r="B141" s="69">
        <f>EDATE(入力設定!$B$7,A141-1)</f>
        <v>50437</v>
      </c>
      <c r="C141" s="80">
        <f>INDEX(入力設定!$C$15:$C$24,INT((A141-1)/60)+1)</f>
        <v>0.03</v>
      </c>
      <c r="D141" s="70">
        <f t="shared" ca="1" si="61"/>
        <v>22889268.550018419</v>
      </c>
      <c r="E141" s="70">
        <f t="shared" ca="1" si="62"/>
        <v>245</v>
      </c>
      <c r="F141" s="70">
        <f ca="1">IF(D141+Z141&lt;0.000001,0,IF(D141&lt;0.000001,F140,IF(OR(AE141=1,AND(K140&gt;0,入力設定!$B$8="返済額軽減型",入力設定!$B$11="翌月")),IF(C141=0,D141/MAX(1,E141),D141*(C141/12)/(1-(1+C141/12)^(-MAX(1,E141)))),F140)))</f>
        <v>125052.99264303216</v>
      </c>
      <c r="G141" s="70">
        <f t="shared" ca="1" si="44"/>
        <v>125052.99264303216</v>
      </c>
      <c r="H141" s="70">
        <f t="shared" ca="1" si="45"/>
        <v>57223.171375046048</v>
      </c>
      <c r="I141" s="70">
        <f t="shared" ca="1" si="46"/>
        <v>67829.821267986117</v>
      </c>
      <c r="J141" s="70">
        <f>SUMIFS(入力設定!$G$5:$G$24,入力設定!$F$5:$F$24,A141)</f>
        <v>0</v>
      </c>
      <c r="K141" s="70">
        <f t="shared" ca="1" si="47"/>
        <v>0</v>
      </c>
      <c r="L141" s="70">
        <f ca="1">IF(K141&gt;0,入力設定!$B$9,0)</f>
        <v>0</v>
      </c>
      <c r="M141" s="70">
        <f t="shared" ca="1" si="48"/>
        <v>22821438.728750434</v>
      </c>
      <c r="N141" s="70">
        <f ca="1">IF(M141+AA141&lt;0.000001,0,IF(AND(K141&gt;0,入力設定!$B$8="期間短縮型",AA141&lt;0.000001,F141&gt;M141*C141/12),MAX(1,MIN(E141-1,IF(C141=0,ROUNDUP(M141/F141,0),ROUNDUP(-LN(1-M141*(C141/12)/F141)/LN(1+C141/12),0)))),MAX(1,E141-1)))</f>
        <v>244</v>
      </c>
      <c r="O141" s="70">
        <f t="shared" ca="1" si="49"/>
        <v>125052.99264303216</v>
      </c>
      <c r="P141" s="70">
        <f t="shared" ca="1" si="63"/>
        <v>26192365.915799405</v>
      </c>
      <c r="Q141" s="70">
        <f ca="1">IF(OR(A141&gt;入力設定!$B$6*12,P141+AC141&lt;0.000001),0,IF(P141&lt;0.000001,Q140,IF(AE141=1,IF(C141=0,P141/MAX(1,入力設定!$B$6*12-A141+1),P141*(C141/12)/(1-(1+C141/12)^(-MAX(1,入力設定!$B$6*12-A141+1)))),Q140)))</f>
        <v>128609.0218444733</v>
      </c>
      <c r="R141" s="70">
        <f ca="1">IF(P141+AC141&lt;0.000001,0,IF(A141=入力設定!$B$6*12,P141+AB141+AC141,MIN(Q141,P141+AB141+AC141)))</f>
        <v>128609.0218444733</v>
      </c>
      <c r="S141" s="70">
        <f t="shared" ca="1" si="50"/>
        <v>65480.914789498514</v>
      </c>
      <c r="T141" s="70">
        <f t="shared" ca="1" si="51"/>
        <v>63128.107054974789</v>
      </c>
      <c r="U141" s="70">
        <f t="shared" ca="1" si="52"/>
        <v>26129237.808744431</v>
      </c>
      <c r="V141" s="70">
        <f t="shared" ca="1" si="53"/>
        <v>0</v>
      </c>
      <c r="W141" s="70">
        <f t="shared" ca="1" si="54"/>
        <v>0</v>
      </c>
      <c r="X141" s="70">
        <f t="shared" ca="1" si="55"/>
        <v>0</v>
      </c>
      <c r="Y141" s="71">
        <f t="shared" ca="1" si="56"/>
        <v>57223.171375046048</v>
      </c>
      <c r="Z141" s="71">
        <f t="shared" ca="1" si="64"/>
        <v>0</v>
      </c>
      <c r="AA141" s="71">
        <f t="shared" ca="1" si="57"/>
        <v>0</v>
      </c>
      <c r="AB141" s="71">
        <f t="shared" ca="1" si="58"/>
        <v>65480.914789498514</v>
      </c>
      <c r="AC141" s="71">
        <f t="shared" ca="1" si="65"/>
        <v>0</v>
      </c>
      <c r="AD141" s="71">
        <f t="shared" ca="1" si="59"/>
        <v>0</v>
      </c>
      <c r="AE141" s="72">
        <f t="shared" si="60"/>
        <v>0</v>
      </c>
      <c r="AF141" s="73">
        <f>IF(A141&gt;入力設定!$B$6*12,0,IF(AND(ISNUMBER(C141),C141&gt;=0,C141&lt;=1),0,1))</f>
        <v>0</v>
      </c>
    </row>
    <row r="142" spans="1:32" ht="21" customHeight="1">
      <c r="A142" s="68">
        <f>137</f>
        <v>137</v>
      </c>
      <c r="B142" s="69">
        <f>EDATE(入力設定!$B$7,A142-1)</f>
        <v>50465</v>
      </c>
      <c r="C142" s="80">
        <f>INDEX(入力設定!$C$15:$C$24,INT((A142-1)/60)+1)</f>
        <v>0.03</v>
      </c>
      <c r="D142" s="70">
        <f t="shared" ca="1" si="61"/>
        <v>22821438.728750434</v>
      </c>
      <c r="E142" s="70">
        <f t="shared" ca="1" si="62"/>
        <v>244</v>
      </c>
      <c r="F142" s="70">
        <f ca="1">IF(D142+Z142&lt;0.000001,0,IF(D142&lt;0.000001,F141,IF(OR(AE142=1,AND(K141&gt;0,入力設定!$B$8="返済額軽減型",入力設定!$B$11="翌月")),IF(C142=0,D142/MAX(1,E142),D142*(C142/12)/(1-(1+C142/12)^(-MAX(1,E142)))),F141)))</f>
        <v>125052.99264303216</v>
      </c>
      <c r="G142" s="70">
        <f t="shared" ca="1" si="44"/>
        <v>125052.99264303216</v>
      </c>
      <c r="H142" s="70">
        <f t="shared" ca="1" si="45"/>
        <v>57053.596821876075</v>
      </c>
      <c r="I142" s="70">
        <f t="shared" ca="1" si="46"/>
        <v>67999.395821156097</v>
      </c>
      <c r="J142" s="70">
        <f>SUMIFS(入力設定!$G$5:$G$24,入力設定!$F$5:$F$24,A142)</f>
        <v>0</v>
      </c>
      <c r="K142" s="70">
        <f t="shared" ca="1" si="47"/>
        <v>0</v>
      </c>
      <c r="L142" s="70">
        <f ca="1">IF(K142&gt;0,入力設定!$B$9,0)</f>
        <v>0</v>
      </c>
      <c r="M142" s="70">
        <f t="shared" ca="1" si="48"/>
        <v>22753439.332929276</v>
      </c>
      <c r="N142" s="70">
        <f ca="1">IF(M142+AA142&lt;0.000001,0,IF(AND(K142&gt;0,入力設定!$B$8="期間短縮型",AA142&lt;0.000001,F142&gt;M142*C142/12),MAX(1,MIN(E142-1,IF(C142=0,ROUNDUP(M142/F142,0),ROUNDUP(-LN(1-M142*(C142/12)/F142)/LN(1+C142/12),0)))),MAX(1,E142-1)))</f>
        <v>243</v>
      </c>
      <c r="O142" s="70">
        <f t="shared" ca="1" si="49"/>
        <v>125052.99264303216</v>
      </c>
      <c r="P142" s="70">
        <f t="shared" ca="1" si="63"/>
        <v>26129237.808744431</v>
      </c>
      <c r="Q142" s="70">
        <f ca="1">IF(OR(A142&gt;入力設定!$B$6*12,P142+AC142&lt;0.000001),0,IF(P142&lt;0.000001,Q141,IF(AE142=1,IF(C142=0,P142/MAX(1,入力設定!$B$6*12-A142+1),P142*(C142/12)/(1-(1+C142/12)^(-MAX(1,入力設定!$B$6*12-A142+1)))),Q141)))</f>
        <v>128609.0218444733</v>
      </c>
      <c r="R142" s="70">
        <f ca="1">IF(P142+AC142&lt;0.000001,0,IF(A142=入力設定!$B$6*12,P142+AB142+AC142,MIN(Q142,P142+AB142+AC142)))</f>
        <v>128609.0218444733</v>
      </c>
      <c r="S142" s="70">
        <f t="shared" ca="1" si="50"/>
        <v>65323.09452186108</v>
      </c>
      <c r="T142" s="70">
        <f t="shared" ca="1" si="51"/>
        <v>63285.927322612224</v>
      </c>
      <c r="U142" s="70">
        <f t="shared" ca="1" si="52"/>
        <v>26065951.881421819</v>
      </c>
      <c r="V142" s="70">
        <f t="shared" ca="1" si="53"/>
        <v>0</v>
      </c>
      <c r="W142" s="70">
        <f t="shared" ca="1" si="54"/>
        <v>0</v>
      </c>
      <c r="X142" s="70">
        <f t="shared" ca="1" si="55"/>
        <v>0</v>
      </c>
      <c r="Y142" s="71">
        <f t="shared" ca="1" si="56"/>
        <v>57053.596821876075</v>
      </c>
      <c r="Z142" s="71">
        <f t="shared" ca="1" si="64"/>
        <v>0</v>
      </c>
      <c r="AA142" s="71">
        <f t="shared" ca="1" si="57"/>
        <v>0</v>
      </c>
      <c r="AB142" s="71">
        <f t="shared" ca="1" si="58"/>
        <v>65323.09452186108</v>
      </c>
      <c r="AC142" s="71">
        <f t="shared" ca="1" si="65"/>
        <v>0</v>
      </c>
      <c r="AD142" s="71">
        <f t="shared" ca="1" si="59"/>
        <v>0</v>
      </c>
      <c r="AE142" s="72">
        <f t="shared" si="60"/>
        <v>0</v>
      </c>
      <c r="AF142" s="73">
        <f>IF(A142&gt;入力設定!$B$6*12,0,IF(AND(ISNUMBER(C142),C142&gt;=0,C142&lt;=1),0,1))</f>
        <v>0</v>
      </c>
    </row>
    <row r="143" spans="1:32" ht="21" customHeight="1">
      <c r="A143" s="68">
        <f>138</f>
        <v>138</v>
      </c>
      <c r="B143" s="69">
        <f>EDATE(入力設定!$B$7,A143-1)</f>
        <v>50496</v>
      </c>
      <c r="C143" s="80">
        <f>INDEX(入力設定!$C$15:$C$24,INT((A143-1)/60)+1)</f>
        <v>0.03</v>
      </c>
      <c r="D143" s="70">
        <f t="shared" ca="1" si="61"/>
        <v>22753439.332929276</v>
      </c>
      <c r="E143" s="70">
        <f t="shared" ca="1" si="62"/>
        <v>243</v>
      </c>
      <c r="F143" s="70">
        <f ca="1">IF(D143+Z143&lt;0.000001,0,IF(D143&lt;0.000001,F142,IF(OR(AE143=1,AND(K142&gt;0,入力設定!$B$8="返済額軽減型",入力設定!$B$11="翌月")),IF(C143=0,D143/MAX(1,E143),D143*(C143/12)/(1-(1+C143/12)^(-MAX(1,E143)))),F142)))</f>
        <v>125052.99264303216</v>
      </c>
      <c r="G143" s="70">
        <f t="shared" ca="1" si="44"/>
        <v>125052.99264303216</v>
      </c>
      <c r="H143" s="70">
        <f t="shared" ca="1" si="45"/>
        <v>56883.598332323192</v>
      </c>
      <c r="I143" s="70">
        <f t="shared" ca="1" si="46"/>
        <v>68169.394310708973</v>
      </c>
      <c r="J143" s="70">
        <f>SUMIFS(入力設定!$G$5:$G$24,入力設定!$F$5:$F$24,A143)</f>
        <v>0</v>
      </c>
      <c r="K143" s="70">
        <f t="shared" ca="1" si="47"/>
        <v>0</v>
      </c>
      <c r="L143" s="70">
        <f ca="1">IF(K143&gt;0,入力設定!$B$9,0)</f>
        <v>0</v>
      </c>
      <c r="M143" s="70">
        <f t="shared" ca="1" si="48"/>
        <v>22685269.938618567</v>
      </c>
      <c r="N143" s="70">
        <f ca="1">IF(M143+AA143&lt;0.000001,0,IF(AND(K143&gt;0,入力設定!$B$8="期間短縮型",AA143&lt;0.000001,F143&gt;M143*C143/12),MAX(1,MIN(E143-1,IF(C143=0,ROUNDUP(M143/F143,0),ROUNDUP(-LN(1-M143*(C143/12)/F143)/LN(1+C143/12),0)))),MAX(1,E143-1)))</f>
        <v>242</v>
      </c>
      <c r="O143" s="70">
        <f t="shared" ca="1" si="49"/>
        <v>125052.99264303216</v>
      </c>
      <c r="P143" s="70">
        <f t="shared" ca="1" si="63"/>
        <v>26065951.881421819</v>
      </c>
      <c r="Q143" s="70">
        <f ca="1">IF(OR(A143&gt;入力設定!$B$6*12,P143+AC143&lt;0.000001),0,IF(P143&lt;0.000001,Q142,IF(AE143=1,IF(C143=0,P143/MAX(1,入力設定!$B$6*12-A143+1),P143*(C143/12)/(1-(1+C143/12)^(-MAX(1,入力設定!$B$6*12-A143+1)))),Q142)))</f>
        <v>128609.0218444733</v>
      </c>
      <c r="R143" s="70">
        <f ca="1">IF(P143+AC143&lt;0.000001,0,IF(A143=入力設定!$B$6*12,P143+AB143+AC143,MIN(Q143,P143+AB143+AC143)))</f>
        <v>128609.0218444733</v>
      </c>
      <c r="S143" s="70">
        <f t="shared" ca="1" si="50"/>
        <v>65164.87970355455</v>
      </c>
      <c r="T143" s="70">
        <f t="shared" ca="1" si="51"/>
        <v>63444.142140918753</v>
      </c>
      <c r="U143" s="70">
        <f t="shared" ca="1" si="52"/>
        <v>26002507.739280902</v>
      </c>
      <c r="V143" s="70">
        <f t="shared" ca="1" si="53"/>
        <v>0</v>
      </c>
      <c r="W143" s="70">
        <f t="shared" ca="1" si="54"/>
        <v>0</v>
      </c>
      <c r="X143" s="70">
        <f t="shared" ca="1" si="55"/>
        <v>0</v>
      </c>
      <c r="Y143" s="71">
        <f t="shared" ca="1" si="56"/>
        <v>56883.598332323192</v>
      </c>
      <c r="Z143" s="71">
        <f t="shared" ca="1" si="64"/>
        <v>0</v>
      </c>
      <c r="AA143" s="71">
        <f t="shared" ca="1" si="57"/>
        <v>0</v>
      </c>
      <c r="AB143" s="71">
        <f t="shared" ca="1" si="58"/>
        <v>65164.87970355455</v>
      </c>
      <c r="AC143" s="71">
        <f t="shared" ca="1" si="65"/>
        <v>0</v>
      </c>
      <c r="AD143" s="71">
        <f t="shared" ca="1" si="59"/>
        <v>0</v>
      </c>
      <c r="AE143" s="72">
        <f t="shared" si="60"/>
        <v>0</v>
      </c>
      <c r="AF143" s="73">
        <f>IF(A143&gt;入力設定!$B$6*12,0,IF(AND(ISNUMBER(C143),C143&gt;=0,C143&lt;=1),0,1))</f>
        <v>0</v>
      </c>
    </row>
    <row r="144" spans="1:32" ht="21" customHeight="1">
      <c r="A144" s="68">
        <f>139</f>
        <v>139</v>
      </c>
      <c r="B144" s="69">
        <f>EDATE(入力設定!$B$7,A144-1)</f>
        <v>50526</v>
      </c>
      <c r="C144" s="80">
        <f>INDEX(入力設定!$C$15:$C$24,INT((A144-1)/60)+1)</f>
        <v>0.03</v>
      </c>
      <c r="D144" s="70">
        <f t="shared" ca="1" si="61"/>
        <v>22685269.938618567</v>
      </c>
      <c r="E144" s="70">
        <f t="shared" ca="1" si="62"/>
        <v>242</v>
      </c>
      <c r="F144" s="70">
        <f ca="1">IF(D144+Z144&lt;0.000001,0,IF(D144&lt;0.000001,F143,IF(OR(AE144=1,AND(K143&gt;0,入力設定!$B$8="返済額軽減型",入力設定!$B$11="翌月")),IF(C144=0,D144/MAX(1,E144),D144*(C144/12)/(1-(1+C144/12)^(-MAX(1,E144)))),F143)))</f>
        <v>125052.99264303216</v>
      </c>
      <c r="G144" s="70">
        <f t="shared" ca="1" si="44"/>
        <v>125052.99264303216</v>
      </c>
      <c r="H144" s="70">
        <f t="shared" ca="1" si="45"/>
        <v>56713.174846546412</v>
      </c>
      <c r="I144" s="70">
        <f t="shared" ca="1" si="46"/>
        <v>68339.81779648576</v>
      </c>
      <c r="J144" s="70">
        <f>SUMIFS(入力設定!$G$5:$G$24,入力設定!$F$5:$F$24,A144)</f>
        <v>0</v>
      </c>
      <c r="K144" s="70">
        <f t="shared" ca="1" si="47"/>
        <v>0</v>
      </c>
      <c r="L144" s="70">
        <f ca="1">IF(K144&gt;0,入力設定!$B$9,0)</f>
        <v>0</v>
      </c>
      <c r="M144" s="70">
        <f t="shared" ca="1" si="48"/>
        <v>22616930.120822079</v>
      </c>
      <c r="N144" s="70">
        <f ca="1">IF(M144+AA144&lt;0.000001,0,IF(AND(K144&gt;0,入力設定!$B$8="期間短縮型",AA144&lt;0.000001,F144&gt;M144*C144/12),MAX(1,MIN(E144-1,IF(C144=0,ROUNDUP(M144/F144,0),ROUNDUP(-LN(1-M144*(C144/12)/F144)/LN(1+C144/12),0)))),MAX(1,E144-1)))</f>
        <v>241</v>
      </c>
      <c r="O144" s="70">
        <f t="shared" ca="1" si="49"/>
        <v>125052.99264303216</v>
      </c>
      <c r="P144" s="70">
        <f t="shared" ca="1" si="63"/>
        <v>26002507.739280902</v>
      </c>
      <c r="Q144" s="70">
        <f ca="1">IF(OR(A144&gt;入力設定!$B$6*12,P144+AC144&lt;0.000001),0,IF(P144&lt;0.000001,Q143,IF(AE144=1,IF(C144=0,P144/MAX(1,入力設定!$B$6*12-A144+1),P144*(C144/12)/(1-(1+C144/12)^(-MAX(1,入力設定!$B$6*12-A144+1)))),Q143)))</f>
        <v>128609.0218444733</v>
      </c>
      <c r="R144" s="70">
        <f ca="1">IF(P144+AC144&lt;0.000001,0,IF(A144=入力設定!$B$6*12,P144+AB144+AC144,MIN(Q144,P144+AB144+AC144)))</f>
        <v>128609.0218444733</v>
      </c>
      <c r="S144" s="70">
        <f t="shared" ca="1" si="50"/>
        <v>65006.269348202251</v>
      </c>
      <c r="T144" s="70">
        <f t="shared" ca="1" si="51"/>
        <v>63602.752496271052</v>
      </c>
      <c r="U144" s="70">
        <f t="shared" ca="1" si="52"/>
        <v>25938904.98678463</v>
      </c>
      <c r="V144" s="70">
        <f t="shared" ca="1" si="53"/>
        <v>0</v>
      </c>
      <c r="W144" s="70">
        <f t="shared" ca="1" si="54"/>
        <v>0</v>
      </c>
      <c r="X144" s="70">
        <f t="shared" ca="1" si="55"/>
        <v>0</v>
      </c>
      <c r="Y144" s="71">
        <f t="shared" ca="1" si="56"/>
        <v>56713.174846546412</v>
      </c>
      <c r="Z144" s="71">
        <f t="shared" ca="1" si="64"/>
        <v>0</v>
      </c>
      <c r="AA144" s="71">
        <f t="shared" ca="1" si="57"/>
        <v>0</v>
      </c>
      <c r="AB144" s="71">
        <f t="shared" ca="1" si="58"/>
        <v>65006.269348202251</v>
      </c>
      <c r="AC144" s="71">
        <f t="shared" ca="1" si="65"/>
        <v>0</v>
      </c>
      <c r="AD144" s="71">
        <f t="shared" ca="1" si="59"/>
        <v>0</v>
      </c>
      <c r="AE144" s="72">
        <f t="shared" si="60"/>
        <v>0</v>
      </c>
      <c r="AF144" s="73">
        <f>IF(A144&gt;入力設定!$B$6*12,0,IF(AND(ISNUMBER(C144),C144&gt;=0,C144&lt;=1),0,1))</f>
        <v>0</v>
      </c>
    </row>
    <row r="145" spans="1:32" ht="21" customHeight="1">
      <c r="A145" s="68">
        <f>140</f>
        <v>140</v>
      </c>
      <c r="B145" s="69">
        <f>EDATE(入力設定!$B$7,A145-1)</f>
        <v>50557</v>
      </c>
      <c r="C145" s="80">
        <f>INDEX(入力設定!$C$15:$C$24,INT((A145-1)/60)+1)</f>
        <v>0.03</v>
      </c>
      <c r="D145" s="70">
        <f t="shared" ca="1" si="61"/>
        <v>22616930.120822079</v>
      </c>
      <c r="E145" s="70">
        <f t="shared" ca="1" si="62"/>
        <v>241</v>
      </c>
      <c r="F145" s="70">
        <f ca="1">IF(D145+Z145&lt;0.000001,0,IF(D145&lt;0.000001,F144,IF(OR(AE145=1,AND(K144&gt;0,入力設定!$B$8="返済額軽減型",入力設定!$B$11="翌月")),IF(C145=0,D145/MAX(1,E145),D145*(C145/12)/(1-(1+C145/12)^(-MAX(1,E145)))),F144)))</f>
        <v>125052.99264303216</v>
      </c>
      <c r="G145" s="70">
        <f t="shared" ca="1" si="44"/>
        <v>125052.99264303216</v>
      </c>
      <c r="H145" s="70">
        <f t="shared" ca="1" si="45"/>
        <v>56542.325302055193</v>
      </c>
      <c r="I145" s="70">
        <f t="shared" ca="1" si="46"/>
        <v>68510.667340976972</v>
      </c>
      <c r="J145" s="70">
        <f>SUMIFS(入力設定!$G$5:$G$24,入力設定!$F$5:$F$24,A145)</f>
        <v>0</v>
      </c>
      <c r="K145" s="70">
        <f t="shared" ca="1" si="47"/>
        <v>0</v>
      </c>
      <c r="L145" s="70">
        <f ca="1">IF(K145&gt;0,入力設定!$B$9,0)</f>
        <v>0</v>
      </c>
      <c r="M145" s="70">
        <f t="shared" ca="1" si="48"/>
        <v>22548419.453481104</v>
      </c>
      <c r="N145" s="70">
        <f ca="1">IF(M145+AA145&lt;0.000001,0,IF(AND(K145&gt;0,入力設定!$B$8="期間短縮型",AA145&lt;0.000001,F145&gt;M145*C145/12),MAX(1,MIN(E145-1,IF(C145=0,ROUNDUP(M145/F145,0),ROUNDUP(-LN(1-M145*(C145/12)/F145)/LN(1+C145/12),0)))),MAX(1,E145-1)))</f>
        <v>240</v>
      </c>
      <c r="O145" s="70">
        <f t="shared" ca="1" si="49"/>
        <v>125052.99264303216</v>
      </c>
      <c r="P145" s="70">
        <f t="shared" ca="1" si="63"/>
        <v>25938904.98678463</v>
      </c>
      <c r="Q145" s="70">
        <f ca="1">IF(OR(A145&gt;入力設定!$B$6*12,P145+AC145&lt;0.000001),0,IF(P145&lt;0.000001,Q144,IF(AE145=1,IF(C145=0,P145/MAX(1,入力設定!$B$6*12-A145+1),P145*(C145/12)/(1-(1+C145/12)^(-MAX(1,入力設定!$B$6*12-A145+1)))),Q144)))</f>
        <v>128609.0218444733</v>
      </c>
      <c r="R145" s="70">
        <f ca="1">IF(P145+AC145&lt;0.000001,0,IF(A145=入力設定!$B$6*12,P145+AB145+AC145,MIN(Q145,P145+AB145+AC145)))</f>
        <v>128609.0218444733</v>
      </c>
      <c r="S145" s="70">
        <f t="shared" ca="1" si="50"/>
        <v>64847.262466961576</v>
      </c>
      <c r="T145" s="70">
        <f t="shared" ca="1" si="51"/>
        <v>63761.759377511728</v>
      </c>
      <c r="U145" s="70">
        <f t="shared" ca="1" si="52"/>
        <v>25875143.227407116</v>
      </c>
      <c r="V145" s="70">
        <f t="shared" ca="1" si="53"/>
        <v>0</v>
      </c>
      <c r="W145" s="70">
        <f t="shared" ca="1" si="54"/>
        <v>0</v>
      </c>
      <c r="X145" s="70">
        <f t="shared" ca="1" si="55"/>
        <v>0</v>
      </c>
      <c r="Y145" s="71">
        <f t="shared" ca="1" si="56"/>
        <v>56542.325302055193</v>
      </c>
      <c r="Z145" s="71">
        <f t="shared" ca="1" si="64"/>
        <v>0</v>
      </c>
      <c r="AA145" s="71">
        <f t="shared" ca="1" si="57"/>
        <v>0</v>
      </c>
      <c r="AB145" s="71">
        <f t="shared" ca="1" si="58"/>
        <v>64847.262466961576</v>
      </c>
      <c r="AC145" s="71">
        <f t="shared" ca="1" si="65"/>
        <v>0</v>
      </c>
      <c r="AD145" s="71">
        <f t="shared" ca="1" si="59"/>
        <v>0</v>
      </c>
      <c r="AE145" s="72">
        <f t="shared" si="60"/>
        <v>0</v>
      </c>
      <c r="AF145" s="73">
        <f>IF(A145&gt;入力設定!$B$6*12,0,IF(AND(ISNUMBER(C145),C145&gt;=0,C145&lt;=1),0,1))</f>
        <v>0</v>
      </c>
    </row>
    <row r="146" spans="1:32" ht="21" customHeight="1">
      <c r="A146" s="68">
        <f>141</f>
        <v>141</v>
      </c>
      <c r="B146" s="69">
        <f>EDATE(入力設定!$B$7,A146-1)</f>
        <v>50587</v>
      </c>
      <c r="C146" s="80">
        <f>INDEX(入力設定!$C$15:$C$24,INT((A146-1)/60)+1)</f>
        <v>0.03</v>
      </c>
      <c r="D146" s="70">
        <f t="shared" ca="1" si="61"/>
        <v>22548419.453481104</v>
      </c>
      <c r="E146" s="70">
        <f t="shared" ca="1" si="62"/>
        <v>240</v>
      </c>
      <c r="F146" s="70">
        <f ca="1">IF(D146+Z146&lt;0.000001,0,IF(D146&lt;0.000001,F145,IF(OR(AE146=1,AND(K145&gt;0,入力設定!$B$8="返済額軽減型",入力設定!$B$11="翌月")),IF(C146=0,D146/MAX(1,E146),D146*(C146/12)/(1-(1+C146/12)^(-MAX(1,E146)))),F145)))</f>
        <v>125052.99264303216</v>
      </c>
      <c r="G146" s="70">
        <f t="shared" ca="1" si="44"/>
        <v>125052.99264303216</v>
      </c>
      <c r="H146" s="70">
        <f t="shared" ca="1" si="45"/>
        <v>56371.048633702761</v>
      </c>
      <c r="I146" s="70">
        <f t="shared" ca="1" si="46"/>
        <v>68681.944009329396</v>
      </c>
      <c r="J146" s="70">
        <f>SUMIFS(入力設定!$G$5:$G$24,入力設定!$F$5:$F$24,A146)</f>
        <v>0</v>
      </c>
      <c r="K146" s="70">
        <f t="shared" ca="1" si="47"/>
        <v>0</v>
      </c>
      <c r="L146" s="70">
        <f ca="1">IF(K146&gt;0,入力設定!$B$9,0)</f>
        <v>0</v>
      </c>
      <c r="M146" s="70">
        <f t="shared" ca="1" si="48"/>
        <v>22479737.509471774</v>
      </c>
      <c r="N146" s="70">
        <f ca="1">IF(M146+AA146&lt;0.000001,0,IF(AND(K146&gt;0,入力設定!$B$8="期間短縮型",AA146&lt;0.000001,F146&gt;M146*C146/12),MAX(1,MIN(E146-1,IF(C146=0,ROUNDUP(M146/F146,0),ROUNDUP(-LN(1-M146*(C146/12)/F146)/LN(1+C146/12),0)))),MAX(1,E146-1)))</f>
        <v>239</v>
      </c>
      <c r="O146" s="70">
        <f t="shared" ca="1" si="49"/>
        <v>125052.99264303216</v>
      </c>
      <c r="P146" s="70">
        <f t="shared" ca="1" si="63"/>
        <v>25875143.227407116</v>
      </c>
      <c r="Q146" s="70">
        <f ca="1">IF(OR(A146&gt;入力設定!$B$6*12,P146+AC146&lt;0.000001),0,IF(P146&lt;0.000001,Q145,IF(AE146=1,IF(C146=0,P146/MAX(1,入力設定!$B$6*12-A146+1),P146*(C146/12)/(1-(1+C146/12)^(-MAX(1,入力設定!$B$6*12-A146+1)))),Q145)))</f>
        <v>128609.0218444733</v>
      </c>
      <c r="R146" s="70">
        <f ca="1">IF(P146+AC146&lt;0.000001,0,IF(A146=入力設定!$B$6*12,P146+AB146+AC146,MIN(Q146,P146+AB146+AC146)))</f>
        <v>128609.0218444733</v>
      </c>
      <c r="S146" s="70">
        <f t="shared" ca="1" si="50"/>
        <v>64687.858068517788</v>
      </c>
      <c r="T146" s="70">
        <f t="shared" ca="1" si="51"/>
        <v>63921.163775955516</v>
      </c>
      <c r="U146" s="70">
        <f t="shared" ca="1" si="52"/>
        <v>25811222.063631162</v>
      </c>
      <c r="V146" s="70">
        <f t="shared" ca="1" si="53"/>
        <v>0</v>
      </c>
      <c r="W146" s="70">
        <f t="shared" ca="1" si="54"/>
        <v>0</v>
      </c>
      <c r="X146" s="70">
        <f t="shared" ca="1" si="55"/>
        <v>0</v>
      </c>
      <c r="Y146" s="71">
        <f t="shared" ca="1" si="56"/>
        <v>56371.048633702761</v>
      </c>
      <c r="Z146" s="71">
        <f t="shared" ca="1" si="64"/>
        <v>0</v>
      </c>
      <c r="AA146" s="71">
        <f t="shared" ca="1" si="57"/>
        <v>0</v>
      </c>
      <c r="AB146" s="71">
        <f t="shared" ca="1" si="58"/>
        <v>64687.858068517788</v>
      </c>
      <c r="AC146" s="71">
        <f t="shared" ca="1" si="65"/>
        <v>0</v>
      </c>
      <c r="AD146" s="71">
        <f t="shared" ca="1" si="59"/>
        <v>0</v>
      </c>
      <c r="AE146" s="72">
        <f t="shared" si="60"/>
        <v>0</v>
      </c>
      <c r="AF146" s="73">
        <f>IF(A146&gt;入力設定!$B$6*12,0,IF(AND(ISNUMBER(C146),C146&gt;=0,C146&lt;=1),0,1))</f>
        <v>0</v>
      </c>
    </row>
    <row r="147" spans="1:32" ht="21" customHeight="1">
      <c r="A147" s="68">
        <f>142</f>
        <v>142</v>
      </c>
      <c r="B147" s="69">
        <f>EDATE(入力設定!$B$7,A147-1)</f>
        <v>50618</v>
      </c>
      <c r="C147" s="80">
        <f>INDEX(入力設定!$C$15:$C$24,INT((A147-1)/60)+1)</f>
        <v>0.03</v>
      </c>
      <c r="D147" s="70">
        <f t="shared" ca="1" si="61"/>
        <v>22479737.509471774</v>
      </c>
      <c r="E147" s="70">
        <f t="shared" ca="1" si="62"/>
        <v>239</v>
      </c>
      <c r="F147" s="70">
        <f ca="1">IF(D147+Z147&lt;0.000001,0,IF(D147&lt;0.000001,F146,IF(OR(AE147=1,AND(K146&gt;0,入力設定!$B$8="返済額軽減型",入力設定!$B$11="翌月")),IF(C147=0,D147/MAX(1,E147),D147*(C147/12)/(1-(1+C147/12)^(-MAX(1,E147)))),F146)))</f>
        <v>125052.99264303216</v>
      </c>
      <c r="G147" s="70">
        <f t="shared" ca="1" si="44"/>
        <v>125052.99264303216</v>
      </c>
      <c r="H147" s="70">
        <f t="shared" ca="1" si="45"/>
        <v>56199.343773679429</v>
      </c>
      <c r="I147" s="70">
        <f t="shared" ca="1" si="46"/>
        <v>68853.648869352735</v>
      </c>
      <c r="J147" s="70">
        <f>SUMIFS(入力設定!$G$5:$G$24,入力設定!$F$5:$F$24,A147)</f>
        <v>0</v>
      </c>
      <c r="K147" s="70">
        <f t="shared" ca="1" si="47"/>
        <v>0</v>
      </c>
      <c r="L147" s="70">
        <f ca="1">IF(K147&gt;0,入力設定!$B$9,0)</f>
        <v>0</v>
      </c>
      <c r="M147" s="70">
        <f t="shared" ca="1" si="48"/>
        <v>22410883.86060242</v>
      </c>
      <c r="N147" s="70">
        <f ca="1">IF(M147+AA147&lt;0.000001,0,IF(AND(K147&gt;0,入力設定!$B$8="期間短縮型",AA147&lt;0.000001,F147&gt;M147*C147/12),MAX(1,MIN(E147-1,IF(C147=0,ROUNDUP(M147/F147,0),ROUNDUP(-LN(1-M147*(C147/12)/F147)/LN(1+C147/12),0)))),MAX(1,E147-1)))</f>
        <v>238</v>
      </c>
      <c r="O147" s="70">
        <f t="shared" ca="1" si="49"/>
        <v>125052.99264303216</v>
      </c>
      <c r="P147" s="70">
        <f t="shared" ca="1" si="63"/>
        <v>25811222.063631162</v>
      </c>
      <c r="Q147" s="70">
        <f ca="1">IF(OR(A147&gt;入力設定!$B$6*12,P147+AC147&lt;0.000001),0,IF(P147&lt;0.000001,Q146,IF(AE147=1,IF(C147=0,P147/MAX(1,入力設定!$B$6*12-A147+1),P147*(C147/12)/(1-(1+C147/12)^(-MAX(1,入力設定!$B$6*12-A147+1)))),Q146)))</f>
        <v>128609.0218444733</v>
      </c>
      <c r="R147" s="70">
        <f ca="1">IF(P147+AC147&lt;0.000001,0,IF(A147=入力設定!$B$6*12,P147+AB147+AC147,MIN(Q147,P147+AB147+AC147)))</f>
        <v>128609.0218444733</v>
      </c>
      <c r="S147" s="70">
        <f t="shared" ca="1" si="50"/>
        <v>64528.0551590779</v>
      </c>
      <c r="T147" s="70">
        <f t="shared" ca="1" si="51"/>
        <v>64080.966685395404</v>
      </c>
      <c r="U147" s="70">
        <f t="shared" ca="1" si="52"/>
        <v>25747141.096945766</v>
      </c>
      <c r="V147" s="70">
        <f t="shared" ca="1" si="53"/>
        <v>0</v>
      </c>
      <c r="W147" s="70">
        <f t="shared" ca="1" si="54"/>
        <v>0</v>
      </c>
      <c r="X147" s="70">
        <f t="shared" ca="1" si="55"/>
        <v>0</v>
      </c>
      <c r="Y147" s="71">
        <f t="shared" ca="1" si="56"/>
        <v>56199.343773679429</v>
      </c>
      <c r="Z147" s="71">
        <f t="shared" ca="1" si="64"/>
        <v>0</v>
      </c>
      <c r="AA147" s="71">
        <f t="shared" ca="1" si="57"/>
        <v>0</v>
      </c>
      <c r="AB147" s="71">
        <f t="shared" ca="1" si="58"/>
        <v>64528.0551590779</v>
      </c>
      <c r="AC147" s="71">
        <f t="shared" ca="1" si="65"/>
        <v>0</v>
      </c>
      <c r="AD147" s="71">
        <f t="shared" ca="1" si="59"/>
        <v>0</v>
      </c>
      <c r="AE147" s="72">
        <f t="shared" si="60"/>
        <v>0</v>
      </c>
      <c r="AF147" s="73">
        <f>IF(A147&gt;入力設定!$B$6*12,0,IF(AND(ISNUMBER(C147),C147&gt;=0,C147&lt;=1),0,1))</f>
        <v>0</v>
      </c>
    </row>
    <row r="148" spans="1:32" ht="21" customHeight="1">
      <c r="A148" s="68">
        <f>143</f>
        <v>143</v>
      </c>
      <c r="B148" s="69">
        <f>EDATE(入力設定!$B$7,A148-1)</f>
        <v>50649</v>
      </c>
      <c r="C148" s="80">
        <f>INDEX(入力設定!$C$15:$C$24,INT((A148-1)/60)+1)</f>
        <v>0.03</v>
      </c>
      <c r="D148" s="70">
        <f t="shared" ca="1" si="61"/>
        <v>22410883.86060242</v>
      </c>
      <c r="E148" s="70">
        <f t="shared" ca="1" si="62"/>
        <v>238</v>
      </c>
      <c r="F148" s="70">
        <f ca="1">IF(D148+Z148&lt;0.000001,0,IF(D148&lt;0.000001,F147,IF(OR(AE148=1,AND(K147&gt;0,入力設定!$B$8="返済額軽減型",入力設定!$B$11="翌月")),IF(C148=0,D148/MAX(1,E148),D148*(C148/12)/(1-(1+C148/12)^(-MAX(1,E148)))),F147)))</f>
        <v>125052.99264303216</v>
      </c>
      <c r="G148" s="70">
        <f t="shared" ca="1" si="44"/>
        <v>125052.99264303216</v>
      </c>
      <c r="H148" s="70">
        <f t="shared" ca="1" si="45"/>
        <v>56027.209651506048</v>
      </c>
      <c r="I148" s="70">
        <f t="shared" ca="1" si="46"/>
        <v>69025.782991526125</v>
      </c>
      <c r="J148" s="70">
        <f>SUMIFS(入力設定!$G$5:$G$24,入力設定!$F$5:$F$24,A148)</f>
        <v>0</v>
      </c>
      <c r="K148" s="70">
        <f t="shared" ca="1" si="47"/>
        <v>0</v>
      </c>
      <c r="L148" s="70">
        <f ca="1">IF(K148&gt;0,入力設定!$B$9,0)</f>
        <v>0</v>
      </c>
      <c r="M148" s="70">
        <f t="shared" ca="1" si="48"/>
        <v>22341858.077610895</v>
      </c>
      <c r="N148" s="70">
        <f ca="1">IF(M148+AA148&lt;0.000001,0,IF(AND(K148&gt;0,入力設定!$B$8="期間短縮型",AA148&lt;0.000001,F148&gt;M148*C148/12),MAX(1,MIN(E148-1,IF(C148=0,ROUNDUP(M148/F148,0),ROUNDUP(-LN(1-M148*(C148/12)/F148)/LN(1+C148/12),0)))),MAX(1,E148-1)))</f>
        <v>237</v>
      </c>
      <c r="O148" s="70">
        <f t="shared" ca="1" si="49"/>
        <v>125052.99264303216</v>
      </c>
      <c r="P148" s="70">
        <f t="shared" ca="1" si="63"/>
        <v>25747141.096945766</v>
      </c>
      <c r="Q148" s="70">
        <f ca="1">IF(OR(A148&gt;入力設定!$B$6*12,P148+AC148&lt;0.000001),0,IF(P148&lt;0.000001,Q147,IF(AE148=1,IF(C148=0,P148/MAX(1,入力設定!$B$6*12-A148+1),P148*(C148/12)/(1-(1+C148/12)^(-MAX(1,入力設定!$B$6*12-A148+1)))),Q147)))</f>
        <v>128609.0218444733</v>
      </c>
      <c r="R148" s="70">
        <f ca="1">IF(P148+AC148&lt;0.000001,0,IF(A148=入力設定!$B$6*12,P148+AB148+AC148,MIN(Q148,P148+AB148+AC148)))</f>
        <v>128609.0218444733</v>
      </c>
      <c r="S148" s="70">
        <f t="shared" ca="1" si="50"/>
        <v>64367.852742364419</v>
      </c>
      <c r="T148" s="70">
        <f t="shared" ca="1" si="51"/>
        <v>64241.169102108885</v>
      </c>
      <c r="U148" s="70">
        <f t="shared" ca="1" si="52"/>
        <v>25682899.927843656</v>
      </c>
      <c r="V148" s="70">
        <f t="shared" ca="1" si="53"/>
        <v>0</v>
      </c>
      <c r="W148" s="70">
        <f t="shared" ca="1" si="54"/>
        <v>0</v>
      </c>
      <c r="X148" s="70">
        <f t="shared" ca="1" si="55"/>
        <v>0</v>
      </c>
      <c r="Y148" s="71">
        <f t="shared" ca="1" si="56"/>
        <v>56027.209651506048</v>
      </c>
      <c r="Z148" s="71">
        <f t="shared" ca="1" si="64"/>
        <v>0</v>
      </c>
      <c r="AA148" s="71">
        <f t="shared" ca="1" si="57"/>
        <v>0</v>
      </c>
      <c r="AB148" s="71">
        <f t="shared" ca="1" si="58"/>
        <v>64367.852742364419</v>
      </c>
      <c r="AC148" s="71">
        <f t="shared" ca="1" si="65"/>
        <v>0</v>
      </c>
      <c r="AD148" s="71">
        <f t="shared" ca="1" si="59"/>
        <v>0</v>
      </c>
      <c r="AE148" s="72">
        <f t="shared" si="60"/>
        <v>0</v>
      </c>
      <c r="AF148" s="73">
        <f>IF(A148&gt;入力設定!$B$6*12,0,IF(AND(ISNUMBER(C148),C148&gt;=0,C148&lt;=1),0,1))</f>
        <v>0</v>
      </c>
    </row>
    <row r="149" spans="1:32" ht="21" customHeight="1">
      <c r="A149" s="68">
        <f>144</f>
        <v>144</v>
      </c>
      <c r="B149" s="69">
        <f>EDATE(入力設定!$B$7,A149-1)</f>
        <v>50679</v>
      </c>
      <c r="C149" s="80">
        <f>INDEX(入力設定!$C$15:$C$24,INT((A149-1)/60)+1)</f>
        <v>0.03</v>
      </c>
      <c r="D149" s="70">
        <f t="shared" ca="1" si="61"/>
        <v>22341858.077610895</v>
      </c>
      <c r="E149" s="70">
        <f t="shared" ca="1" si="62"/>
        <v>237</v>
      </c>
      <c r="F149" s="70">
        <f ca="1">IF(D149+Z149&lt;0.000001,0,IF(D149&lt;0.000001,F148,IF(OR(AE149=1,AND(K148&gt;0,入力設定!$B$8="返済額軽減型",入力設定!$B$11="翌月")),IF(C149=0,D149/MAX(1,E149),D149*(C149/12)/(1-(1+C149/12)^(-MAX(1,E149)))),F148)))</f>
        <v>125052.99264303216</v>
      </c>
      <c r="G149" s="70">
        <f t="shared" ca="1" si="44"/>
        <v>125052.99264303216</v>
      </c>
      <c r="H149" s="70">
        <f t="shared" ca="1" si="45"/>
        <v>55854.645194027231</v>
      </c>
      <c r="I149" s="70">
        <f t="shared" ca="1" si="46"/>
        <v>69198.347449004941</v>
      </c>
      <c r="J149" s="70">
        <f>SUMIFS(入力設定!$G$5:$G$24,入力設定!$F$5:$F$24,A149)</f>
        <v>0</v>
      </c>
      <c r="K149" s="70">
        <f t="shared" ca="1" si="47"/>
        <v>0</v>
      </c>
      <c r="L149" s="70">
        <f ca="1">IF(K149&gt;0,入力設定!$B$9,0)</f>
        <v>0</v>
      </c>
      <c r="M149" s="70">
        <f t="shared" ca="1" si="48"/>
        <v>22272659.73016189</v>
      </c>
      <c r="N149" s="70">
        <f ca="1">IF(M149+AA149&lt;0.000001,0,IF(AND(K149&gt;0,入力設定!$B$8="期間短縮型",AA149&lt;0.000001,F149&gt;M149*C149/12),MAX(1,MIN(E149-1,IF(C149=0,ROUNDUP(M149/F149,0),ROUNDUP(-LN(1-M149*(C149/12)/F149)/LN(1+C149/12),0)))),MAX(1,E149-1)))</f>
        <v>236</v>
      </c>
      <c r="O149" s="70">
        <f t="shared" ca="1" si="49"/>
        <v>125052.99264303216</v>
      </c>
      <c r="P149" s="70">
        <f t="shared" ca="1" si="63"/>
        <v>25682899.927843656</v>
      </c>
      <c r="Q149" s="70">
        <f ca="1">IF(OR(A149&gt;入力設定!$B$6*12,P149+AC149&lt;0.000001),0,IF(P149&lt;0.000001,Q148,IF(AE149=1,IF(C149=0,P149/MAX(1,入力設定!$B$6*12-A149+1),P149*(C149/12)/(1-(1+C149/12)^(-MAX(1,入力設定!$B$6*12-A149+1)))),Q148)))</f>
        <v>128609.0218444733</v>
      </c>
      <c r="R149" s="70">
        <f ca="1">IF(P149+AC149&lt;0.000001,0,IF(A149=入力設定!$B$6*12,P149+AB149+AC149,MIN(Q149,P149+AB149+AC149)))</f>
        <v>128609.0218444733</v>
      </c>
      <c r="S149" s="70">
        <f t="shared" ca="1" si="50"/>
        <v>64207.24981960914</v>
      </c>
      <c r="T149" s="70">
        <f t="shared" ca="1" si="51"/>
        <v>64401.772024864164</v>
      </c>
      <c r="U149" s="70">
        <f t="shared" ca="1" si="52"/>
        <v>25618498.155818794</v>
      </c>
      <c r="V149" s="70">
        <f t="shared" ca="1" si="53"/>
        <v>0</v>
      </c>
      <c r="W149" s="70">
        <f t="shared" ca="1" si="54"/>
        <v>0</v>
      </c>
      <c r="X149" s="70">
        <f t="shared" ca="1" si="55"/>
        <v>0</v>
      </c>
      <c r="Y149" s="71">
        <f t="shared" ca="1" si="56"/>
        <v>55854.645194027231</v>
      </c>
      <c r="Z149" s="71">
        <f t="shared" ca="1" si="64"/>
        <v>0</v>
      </c>
      <c r="AA149" s="71">
        <f t="shared" ca="1" si="57"/>
        <v>0</v>
      </c>
      <c r="AB149" s="71">
        <f t="shared" ca="1" si="58"/>
        <v>64207.24981960914</v>
      </c>
      <c r="AC149" s="71">
        <f t="shared" ca="1" si="65"/>
        <v>0</v>
      </c>
      <c r="AD149" s="71">
        <f t="shared" ca="1" si="59"/>
        <v>0</v>
      </c>
      <c r="AE149" s="72">
        <f t="shared" si="60"/>
        <v>0</v>
      </c>
      <c r="AF149" s="73">
        <f>IF(A149&gt;入力設定!$B$6*12,0,IF(AND(ISNUMBER(C149),C149&gt;=0,C149&lt;=1),0,1))</f>
        <v>0</v>
      </c>
    </row>
    <row r="150" spans="1:32" ht="21" customHeight="1">
      <c r="A150" s="68">
        <f>145</f>
        <v>145</v>
      </c>
      <c r="B150" s="69">
        <f>EDATE(入力設定!$B$7,A150-1)</f>
        <v>50710</v>
      </c>
      <c r="C150" s="80">
        <f>INDEX(入力設定!$C$15:$C$24,INT((A150-1)/60)+1)</f>
        <v>0.03</v>
      </c>
      <c r="D150" s="70">
        <f t="shared" ca="1" si="61"/>
        <v>22272659.73016189</v>
      </c>
      <c r="E150" s="70">
        <f t="shared" ca="1" si="62"/>
        <v>236</v>
      </c>
      <c r="F150" s="70">
        <f ca="1">IF(D150+Z150&lt;0.000001,0,IF(D150&lt;0.000001,F149,IF(OR(AE150=1,AND(K149&gt;0,入力設定!$B$8="返済額軽減型",入力設定!$B$11="翌月")),IF(C150=0,D150/MAX(1,E150),D150*(C150/12)/(1-(1+C150/12)^(-MAX(1,E150)))),F149)))</f>
        <v>125052.99264303216</v>
      </c>
      <c r="G150" s="70">
        <f t="shared" ca="1" si="44"/>
        <v>125052.99264303216</v>
      </c>
      <c r="H150" s="70">
        <f t="shared" ca="1" si="45"/>
        <v>55681.649325404724</v>
      </c>
      <c r="I150" s="70">
        <f t="shared" ca="1" si="46"/>
        <v>69371.343317627441</v>
      </c>
      <c r="J150" s="70">
        <f>SUMIFS(入力設定!$G$5:$G$24,入力設定!$F$5:$F$24,A150)</f>
        <v>0</v>
      </c>
      <c r="K150" s="70">
        <f t="shared" ca="1" si="47"/>
        <v>0</v>
      </c>
      <c r="L150" s="70">
        <f ca="1">IF(K150&gt;0,入力設定!$B$9,0)</f>
        <v>0</v>
      </c>
      <c r="M150" s="70">
        <f t="shared" ca="1" si="48"/>
        <v>22203288.386844262</v>
      </c>
      <c r="N150" s="70">
        <f ca="1">IF(M150+AA150&lt;0.000001,0,IF(AND(K150&gt;0,入力設定!$B$8="期間短縮型",AA150&lt;0.000001,F150&gt;M150*C150/12),MAX(1,MIN(E150-1,IF(C150=0,ROUNDUP(M150/F150,0),ROUNDUP(-LN(1-M150*(C150/12)/F150)/LN(1+C150/12),0)))),MAX(1,E150-1)))</f>
        <v>235</v>
      </c>
      <c r="O150" s="70">
        <f t="shared" ca="1" si="49"/>
        <v>125052.99264303216</v>
      </c>
      <c r="P150" s="70">
        <f t="shared" ca="1" si="63"/>
        <v>25618498.155818794</v>
      </c>
      <c r="Q150" s="70">
        <f ca="1">IF(OR(A150&gt;入力設定!$B$6*12,P150+AC150&lt;0.000001),0,IF(P150&lt;0.000001,Q149,IF(AE150=1,IF(C150=0,P150/MAX(1,入力設定!$B$6*12-A150+1),P150*(C150/12)/(1-(1+C150/12)^(-MAX(1,入力設定!$B$6*12-A150+1)))),Q149)))</f>
        <v>128609.0218444733</v>
      </c>
      <c r="R150" s="70">
        <f ca="1">IF(P150+AC150&lt;0.000001,0,IF(A150=入力設定!$B$6*12,P150+AB150+AC150,MIN(Q150,P150+AB150+AC150)))</f>
        <v>128609.0218444733</v>
      </c>
      <c r="S150" s="70">
        <f t="shared" ca="1" si="50"/>
        <v>64046.245389546988</v>
      </c>
      <c r="T150" s="70">
        <f t="shared" ca="1" si="51"/>
        <v>64562.776454926316</v>
      </c>
      <c r="U150" s="70">
        <f t="shared" ca="1" si="52"/>
        <v>25553935.379363868</v>
      </c>
      <c r="V150" s="70">
        <f t="shared" ca="1" si="53"/>
        <v>0</v>
      </c>
      <c r="W150" s="70">
        <f t="shared" ca="1" si="54"/>
        <v>0</v>
      </c>
      <c r="X150" s="70">
        <f t="shared" ca="1" si="55"/>
        <v>0</v>
      </c>
      <c r="Y150" s="71">
        <f t="shared" ca="1" si="56"/>
        <v>55681.649325404724</v>
      </c>
      <c r="Z150" s="71">
        <f t="shared" ca="1" si="64"/>
        <v>0</v>
      </c>
      <c r="AA150" s="71">
        <f t="shared" ca="1" si="57"/>
        <v>0</v>
      </c>
      <c r="AB150" s="71">
        <f t="shared" ca="1" si="58"/>
        <v>64046.245389546988</v>
      </c>
      <c r="AC150" s="71">
        <f t="shared" ca="1" si="65"/>
        <v>0</v>
      </c>
      <c r="AD150" s="71">
        <f t="shared" ca="1" si="59"/>
        <v>0</v>
      </c>
      <c r="AE150" s="72">
        <f t="shared" si="60"/>
        <v>0</v>
      </c>
      <c r="AF150" s="73">
        <f>IF(A150&gt;入力設定!$B$6*12,0,IF(AND(ISNUMBER(C150),C150&gt;=0,C150&lt;=1),0,1))</f>
        <v>0</v>
      </c>
    </row>
    <row r="151" spans="1:32" ht="21" customHeight="1">
      <c r="A151" s="68">
        <f>146</f>
        <v>146</v>
      </c>
      <c r="B151" s="69">
        <f>EDATE(入力設定!$B$7,A151-1)</f>
        <v>50740</v>
      </c>
      <c r="C151" s="80">
        <f>INDEX(入力設定!$C$15:$C$24,INT((A151-1)/60)+1)</f>
        <v>0.03</v>
      </c>
      <c r="D151" s="70">
        <f t="shared" ca="1" si="61"/>
        <v>22203288.386844262</v>
      </c>
      <c r="E151" s="70">
        <f t="shared" ca="1" si="62"/>
        <v>235</v>
      </c>
      <c r="F151" s="70">
        <f ca="1">IF(D151+Z151&lt;0.000001,0,IF(D151&lt;0.000001,F150,IF(OR(AE151=1,AND(K150&gt;0,入力設定!$B$8="返済額軽減型",入力設定!$B$11="翌月")),IF(C151=0,D151/MAX(1,E151),D151*(C151/12)/(1-(1+C151/12)^(-MAX(1,E151)))),F150)))</f>
        <v>125052.99264303216</v>
      </c>
      <c r="G151" s="70">
        <f t="shared" ca="1" si="44"/>
        <v>125052.99264303216</v>
      </c>
      <c r="H151" s="70">
        <f t="shared" ca="1" si="45"/>
        <v>55508.220967110654</v>
      </c>
      <c r="I151" s="70">
        <f t="shared" ca="1" si="46"/>
        <v>69544.771675921511</v>
      </c>
      <c r="J151" s="70">
        <f>SUMIFS(入力設定!$G$5:$G$24,入力設定!$F$5:$F$24,A151)</f>
        <v>0</v>
      </c>
      <c r="K151" s="70">
        <f t="shared" ca="1" si="47"/>
        <v>0</v>
      </c>
      <c r="L151" s="70">
        <f ca="1">IF(K151&gt;0,入力設定!$B$9,0)</f>
        <v>0</v>
      </c>
      <c r="M151" s="70">
        <f t="shared" ca="1" si="48"/>
        <v>22133743.615168341</v>
      </c>
      <c r="N151" s="70">
        <f ca="1">IF(M151+AA151&lt;0.000001,0,IF(AND(K151&gt;0,入力設定!$B$8="期間短縮型",AA151&lt;0.000001,F151&gt;M151*C151/12),MAX(1,MIN(E151-1,IF(C151=0,ROUNDUP(M151/F151,0),ROUNDUP(-LN(1-M151*(C151/12)/F151)/LN(1+C151/12),0)))),MAX(1,E151-1)))</f>
        <v>234</v>
      </c>
      <c r="O151" s="70">
        <f t="shared" ca="1" si="49"/>
        <v>125052.99264303216</v>
      </c>
      <c r="P151" s="70">
        <f t="shared" ca="1" si="63"/>
        <v>25553935.379363868</v>
      </c>
      <c r="Q151" s="70">
        <f ca="1">IF(OR(A151&gt;入力設定!$B$6*12,P151+AC151&lt;0.000001),0,IF(P151&lt;0.000001,Q150,IF(AE151=1,IF(C151=0,P151/MAX(1,入力設定!$B$6*12-A151+1),P151*(C151/12)/(1-(1+C151/12)^(-MAX(1,入力設定!$B$6*12-A151+1)))),Q150)))</f>
        <v>128609.0218444733</v>
      </c>
      <c r="R151" s="70">
        <f ca="1">IF(P151+AC151&lt;0.000001,0,IF(A151=入力設定!$B$6*12,P151+AB151+AC151,MIN(Q151,P151+AB151+AC151)))</f>
        <v>128609.0218444733</v>
      </c>
      <c r="S151" s="70">
        <f t="shared" ca="1" si="50"/>
        <v>63884.838448409668</v>
      </c>
      <c r="T151" s="70">
        <f t="shared" ca="1" si="51"/>
        <v>64724.183396063636</v>
      </c>
      <c r="U151" s="70">
        <f t="shared" ca="1" si="52"/>
        <v>25489211.195967805</v>
      </c>
      <c r="V151" s="70">
        <f t="shared" ca="1" si="53"/>
        <v>0</v>
      </c>
      <c r="W151" s="70">
        <f t="shared" ca="1" si="54"/>
        <v>0</v>
      </c>
      <c r="X151" s="70">
        <f t="shared" ca="1" si="55"/>
        <v>0</v>
      </c>
      <c r="Y151" s="71">
        <f t="shared" ca="1" si="56"/>
        <v>55508.220967110654</v>
      </c>
      <c r="Z151" s="71">
        <f t="shared" ca="1" si="64"/>
        <v>0</v>
      </c>
      <c r="AA151" s="71">
        <f t="shared" ca="1" si="57"/>
        <v>0</v>
      </c>
      <c r="AB151" s="71">
        <f t="shared" ca="1" si="58"/>
        <v>63884.838448409668</v>
      </c>
      <c r="AC151" s="71">
        <f t="shared" ca="1" si="65"/>
        <v>0</v>
      </c>
      <c r="AD151" s="71">
        <f t="shared" ca="1" si="59"/>
        <v>0</v>
      </c>
      <c r="AE151" s="72">
        <f t="shared" si="60"/>
        <v>0</v>
      </c>
      <c r="AF151" s="73">
        <f>IF(A151&gt;入力設定!$B$6*12,0,IF(AND(ISNUMBER(C151),C151&gt;=0,C151&lt;=1),0,1))</f>
        <v>0</v>
      </c>
    </row>
    <row r="152" spans="1:32" ht="21" customHeight="1">
      <c r="A152" s="68">
        <f>147</f>
        <v>147</v>
      </c>
      <c r="B152" s="69">
        <f>EDATE(入力設定!$B$7,A152-1)</f>
        <v>50771</v>
      </c>
      <c r="C152" s="80">
        <f>INDEX(入力設定!$C$15:$C$24,INT((A152-1)/60)+1)</f>
        <v>0.03</v>
      </c>
      <c r="D152" s="70">
        <f t="shared" ca="1" si="61"/>
        <v>22133743.615168341</v>
      </c>
      <c r="E152" s="70">
        <f t="shared" ca="1" si="62"/>
        <v>234</v>
      </c>
      <c r="F152" s="70">
        <f ca="1">IF(D152+Z152&lt;0.000001,0,IF(D152&lt;0.000001,F151,IF(OR(AE152=1,AND(K151&gt;0,入力設定!$B$8="返済額軽減型",入力設定!$B$11="翌月")),IF(C152=0,D152/MAX(1,E152),D152*(C152/12)/(1-(1+C152/12)^(-MAX(1,E152)))),F151)))</f>
        <v>125052.99264303216</v>
      </c>
      <c r="G152" s="70">
        <f t="shared" ca="1" si="44"/>
        <v>125052.99264303216</v>
      </c>
      <c r="H152" s="70">
        <f t="shared" ca="1" si="45"/>
        <v>55334.359037920854</v>
      </c>
      <c r="I152" s="70">
        <f t="shared" ca="1" si="46"/>
        <v>69718.633605111303</v>
      </c>
      <c r="J152" s="70">
        <f>SUMIFS(入力設定!$G$5:$G$24,入力設定!$F$5:$F$24,A152)</f>
        <v>0</v>
      </c>
      <c r="K152" s="70">
        <f t="shared" ca="1" si="47"/>
        <v>0</v>
      </c>
      <c r="L152" s="70">
        <f ca="1">IF(K152&gt;0,入力設定!$B$9,0)</f>
        <v>0</v>
      </c>
      <c r="M152" s="70">
        <f t="shared" ca="1" si="48"/>
        <v>22064024.981563229</v>
      </c>
      <c r="N152" s="70">
        <f ca="1">IF(M152+AA152&lt;0.000001,0,IF(AND(K152&gt;0,入力設定!$B$8="期間短縮型",AA152&lt;0.000001,F152&gt;M152*C152/12),MAX(1,MIN(E152-1,IF(C152=0,ROUNDUP(M152/F152,0),ROUNDUP(-LN(1-M152*(C152/12)/F152)/LN(1+C152/12),0)))),MAX(1,E152-1)))</f>
        <v>233</v>
      </c>
      <c r="O152" s="70">
        <f t="shared" ca="1" si="49"/>
        <v>125052.99264303216</v>
      </c>
      <c r="P152" s="70">
        <f t="shared" ca="1" si="63"/>
        <v>25489211.195967805</v>
      </c>
      <c r="Q152" s="70">
        <f ca="1">IF(OR(A152&gt;入力設定!$B$6*12,P152+AC152&lt;0.000001),0,IF(P152&lt;0.000001,Q151,IF(AE152=1,IF(C152=0,P152/MAX(1,入力設定!$B$6*12-A152+1),P152*(C152/12)/(1-(1+C152/12)^(-MAX(1,入力設定!$B$6*12-A152+1)))),Q151)))</f>
        <v>128609.0218444733</v>
      </c>
      <c r="R152" s="70">
        <f ca="1">IF(P152+AC152&lt;0.000001,0,IF(A152=入力設定!$B$6*12,P152+AB152+AC152,MIN(Q152,P152+AB152+AC152)))</f>
        <v>128609.0218444733</v>
      </c>
      <c r="S152" s="70">
        <f t="shared" ca="1" si="50"/>
        <v>63723.027989919508</v>
      </c>
      <c r="T152" s="70">
        <f t="shared" ca="1" si="51"/>
        <v>64885.993854553795</v>
      </c>
      <c r="U152" s="70">
        <f t="shared" ca="1" si="52"/>
        <v>25424325.202113252</v>
      </c>
      <c r="V152" s="70">
        <f t="shared" ca="1" si="53"/>
        <v>0</v>
      </c>
      <c r="W152" s="70">
        <f t="shared" ca="1" si="54"/>
        <v>0</v>
      </c>
      <c r="X152" s="70">
        <f t="shared" ca="1" si="55"/>
        <v>0</v>
      </c>
      <c r="Y152" s="71">
        <f t="shared" ca="1" si="56"/>
        <v>55334.359037920854</v>
      </c>
      <c r="Z152" s="71">
        <f t="shared" ca="1" si="64"/>
        <v>0</v>
      </c>
      <c r="AA152" s="71">
        <f t="shared" ca="1" si="57"/>
        <v>0</v>
      </c>
      <c r="AB152" s="71">
        <f t="shared" ca="1" si="58"/>
        <v>63723.027989919508</v>
      </c>
      <c r="AC152" s="71">
        <f t="shared" ca="1" si="65"/>
        <v>0</v>
      </c>
      <c r="AD152" s="71">
        <f t="shared" ca="1" si="59"/>
        <v>0</v>
      </c>
      <c r="AE152" s="72">
        <f t="shared" si="60"/>
        <v>0</v>
      </c>
      <c r="AF152" s="73">
        <f>IF(A152&gt;入力設定!$B$6*12,0,IF(AND(ISNUMBER(C152),C152&gt;=0,C152&lt;=1),0,1))</f>
        <v>0</v>
      </c>
    </row>
    <row r="153" spans="1:32" ht="21" customHeight="1">
      <c r="A153" s="68">
        <f>148</f>
        <v>148</v>
      </c>
      <c r="B153" s="69">
        <f>EDATE(入力設定!$B$7,A153-1)</f>
        <v>50802</v>
      </c>
      <c r="C153" s="80">
        <f>INDEX(入力設定!$C$15:$C$24,INT((A153-1)/60)+1)</f>
        <v>0.03</v>
      </c>
      <c r="D153" s="70">
        <f t="shared" ca="1" si="61"/>
        <v>22064024.981563229</v>
      </c>
      <c r="E153" s="70">
        <f t="shared" ca="1" si="62"/>
        <v>233</v>
      </c>
      <c r="F153" s="70">
        <f ca="1">IF(D153+Z153&lt;0.000001,0,IF(D153&lt;0.000001,F152,IF(OR(AE153=1,AND(K152&gt;0,入力設定!$B$8="返済額軽減型",入力設定!$B$11="翌月")),IF(C153=0,D153/MAX(1,E153),D153*(C153/12)/(1-(1+C153/12)^(-MAX(1,E153)))),F152)))</f>
        <v>125052.99264303216</v>
      </c>
      <c r="G153" s="70">
        <f t="shared" ca="1" si="44"/>
        <v>125052.99264303216</v>
      </c>
      <c r="H153" s="70">
        <f t="shared" ca="1" si="45"/>
        <v>55160.062453908067</v>
      </c>
      <c r="I153" s="70">
        <f t="shared" ca="1" si="46"/>
        <v>69892.930189124105</v>
      </c>
      <c r="J153" s="70">
        <f>SUMIFS(入力設定!$G$5:$G$24,入力設定!$F$5:$F$24,A153)</f>
        <v>0</v>
      </c>
      <c r="K153" s="70">
        <f t="shared" ca="1" si="47"/>
        <v>0</v>
      </c>
      <c r="L153" s="70">
        <f ca="1">IF(K153&gt;0,入力設定!$B$9,0)</f>
        <v>0</v>
      </c>
      <c r="M153" s="70">
        <f t="shared" ca="1" si="48"/>
        <v>21994132.051374104</v>
      </c>
      <c r="N153" s="70">
        <f ca="1">IF(M153+AA153&lt;0.000001,0,IF(AND(K153&gt;0,入力設定!$B$8="期間短縮型",AA153&lt;0.000001,F153&gt;M153*C153/12),MAX(1,MIN(E153-1,IF(C153=0,ROUNDUP(M153/F153,0),ROUNDUP(-LN(1-M153*(C153/12)/F153)/LN(1+C153/12),0)))),MAX(1,E153-1)))</f>
        <v>232</v>
      </c>
      <c r="O153" s="70">
        <f t="shared" ca="1" si="49"/>
        <v>125052.99264303216</v>
      </c>
      <c r="P153" s="70">
        <f t="shared" ca="1" si="63"/>
        <v>25424325.202113252</v>
      </c>
      <c r="Q153" s="70">
        <f ca="1">IF(OR(A153&gt;入力設定!$B$6*12,P153+AC153&lt;0.000001),0,IF(P153&lt;0.000001,Q152,IF(AE153=1,IF(C153=0,P153/MAX(1,入力設定!$B$6*12-A153+1),P153*(C153/12)/(1-(1+C153/12)^(-MAX(1,入力設定!$B$6*12-A153+1)))),Q152)))</f>
        <v>128609.0218444733</v>
      </c>
      <c r="R153" s="70">
        <f ca="1">IF(P153+AC153&lt;0.000001,0,IF(A153=入力設定!$B$6*12,P153+AB153+AC153,MIN(Q153,P153+AB153+AC153)))</f>
        <v>128609.0218444733</v>
      </c>
      <c r="S153" s="70">
        <f t="shared" ca="1" si="50"/>
        <v>63560.813005283126</v>
      </c>
      <c r="T153" s="70">
        <f t="shared" ca="1" si="51"/>
        <v>65048.208839190178</v>
      </c>
      <c r="U153" s="70">
        <f t="shared" ca="1" si="52"/>
        <v>25359276.993274063</v>
      </c>
      <c r="V153" s="70">
        <f t="shared" ca="1" si="53"/>
        <v>0</v>
      </c>
      <c r="W153" s="70">
        <f t="shared" ca="1" si="54"/>
        <v>0</v>
      </c>
      <c r="X153" s="70">
        <f t="shared" ca="1" si="55"/>
        <v>0</v>
      </c>
      <c r="Y153" s="71">
        <f t="shared" ca="1" si="56"/>
        <v>55160.062453908067</v>
      </c>
      <c r="Z153" s="71">
        <f t="shared" ca="1" si="64"/>
        <v>0</v>
      </c>
      <c r="AA153" s="71">
        <f t="shared" ca="1" si="57"/>
        <v>0</v>
      </c>
      <c r="AB153" s="71">
        <f t="shared" ca="1" si="58"/>
        <v>63560.813005283126</v>
      </c>
      <c r="AC153" s="71">
        <f t="shared" ca="1" si="65"/>
        <v>0</v>
      </c>
      <c r="AD153" s="71">
        <f t="shared" ca="1" si="59"/>
        <v>0</v>
      </c>
      <c r="AE153" s="72">
        <f t="shared" si="60"/>
        <v>0</v>
      </c>
      <c r="AF153" s="73">
        <f>IF(A153&gt;入力設定!$B$6*12,0,IF(AND(ISNUMBER(C153),C153&gt;=0,C153&lt;=1),0,1))</f>
        <v>0</v>
      </c>
    </row>
    <row r="154" spans="1:32" ht="21" customHeight="1">
      <c r="A154" s="68">
        <f>149</f>
        <v>149</v>
      </c>
      <c r="B154" s="69">
        <f>EDATE(入力設定!$B$7,A154-1)</f>
        <v>50830</v>
      </c>
      <c r="C154" s="80">
        <f>INDEX(入力設定!$C$15:$C$24,INT((A154-1)/60)+1)</f>
        <v>0.03</v>
      </c>
      <c r="D154" s="70">
        <f t="shared" ca="1" si="61"/>
        <v>21994132.051374104</v>
      </c>
      <c r="E154" s="70">
        <f t="shared" ca="1" si="62"/>
        <v>232</v>
      </c>
      <c r="F154" s="70">
        <f ca="1">IF(D154+Z154&lt;0.000001,0,IF(D154&lt;0.000001,F153,IF(OR(AE154=1,AND(K153&gt;0,入力設定!$B$8="返済額軽減型",入力設定!$B$11="翌月")),IF(C154=0,D154/MAX(1,E154),D154*(C154/12)/(1-(1+C154/12)^(-MAX(1,E154)))),F153)))</f>
        <v>125052.99264303216</v>
      </c>
      <c r="G154" s="70">
        <f t="shared" ca="1" si="44"/>
        <v>125052.99264303216</v>
      </c>
      <c r="H154" s="70">
        <f t="shared" ca="1" si="45"/>
        <v>54985.330128435256</v>
      </c>
      <c r="I154" s="70">
        <f t="shared" ca="1" si="46"/>
        <v>70067.662514596916</v>
      </c>
      <c r="J154" s="70">
        <f>SUMIFS(入力設定!$G$5:$G$24,入力設定!$F$5:$F$24,A154)</f>
        <v>0</v>
      </c>
      <c r="K154" s="70">
        <f t="shared" ca="1" si="47"/>
        <v>0</v>
      </c>
      <c r="L154" s="70">
        <f ca="1">IF(K154&gt;0,入力設定!$B$9,0)</f>
        <v>0</v>
      </c>
      <c r="M154" s="70">
        <f t="shared" ca="1" si="48"/>
        <v>21924064.388859507</v>
      </c>
      <c r="N154" s="70">
        <f ca="1">IF(M154+AA154&lt;0.000001,0,IF(AND(K154&gt;0,入力設定!$B$8="期間短縮型",AA154&lt;0.000001,F154&gt;M154*C154/12),MAX(1,MIN(E154-1,IF(C154=0,ROUNDUP(M154/F154,0),ROUNDUP(-LN(1-M154*(C154/12)/F154)/LN(1+C154/12),0)))),MAX(1,E154-1)))</f>
        <v>231</v>
      </c>
      <c r="O154" s="70">
        <f t="shared" ca="1" si="49"/>
        <v>125052.99264303216</v>
      </c>
      <c r="P154" s="70">
        <f t="shared" ca="1" si="63"/>
        <v>25359276.993274063</v>
      </c>
      <c r="Q154" s="70">
        <f ca="1">IF(OR(A154&gt;入力設定!$B$6*12,P154+AC154&lt;0.000001),0,IF(P154&lt;0.000001,Q153,IF(AE154=1,IF(C154=0,P154/MAX(1,入力設定!$B$6*12-A154+1),P154*(C154/12)/(1-(1+C154/12)^(-MAX(1,入力設定!$B$6*12-A154+1)))),Q153)))</f>
        <v>128609.0218444733</v>
      </c>
      <c r="R154" s="70">
        <f ca="1">IF(P154+AC154&lt;0.000001,0,IF(A154=入力設定!$B$6*12,P154+AB154+AC154,MIN(Q154,P154+AB154+AC154)))</f>
        <v>128609.0218444733</v>
      </c>
      <c r="S154" s="70">
        <f t="shared" ca="1" si="50"/>
        <v>63398.19248318515</v>
      </c>
      <c r="T154" s="70">
        <f t="shared" ca="1" si="51"/>
        <v>65210.829361288153</v>
      </c>
      <c r="U154" s="70">
        <f t="shared" ca="1" si="52"/>
        <v>25294066.163912773</v>
      </c>
      <c r="V154" s="70">
        <f t="shared" ca="1" si="53"/>
        <v>0</v>
      </c>
      <c r="W154" s="70">
        <f t="shared" ca="1" si="54"/>
        <v>0</v>
      </c>
      <c r="X154" s="70">
        <f t="shared" ca="1" si="55"/>
        <v>0</v>
      </c>
      <c r="Y154" s="71">
        <f t="shared" ca="1" si="56"/>
        <v>54985.330128435256</v>
      </c>
      <c r="Z154" s="71">
        <f t="shared" ca="1" si="64"/>
        <v>0</v>
      </c>
      <c r="AA154" s="71">
        <f t="shared" ca="1" si="57"/>
        <v>0</v>
      </c>
      <c r="AB154" s="71">
        <f t="shared" ca="1" si="58"/>
        <v>63398.19248318515</v>
      </c>
      <c r="AC154" s="71">
        <f t="shared" ca="1" si="65"/>
        <v>0</v>
      </c>
      <c r="AD154" s="71">
        <f t="shared" ca="1" si="59"/>
        <v>0</v>
      </c>
      <c r="AE154" s="72">
        <f t="shared" si="60"/>
        <v>0</v>
      </c>
      <c r="AF154" s="73">
        <f>IF(A154&gt;入力設定!$B$6*12,0,IF(AND(ISNUMBER(C154),C154&gt;=0,C154&lt;=1),0,1))</f>
        <v>0</v>
      </c>
    </row>
    <row r="155" spans="1:32" ht="21" customHeight="1">
      <c r="A155" s="68">
        <f>150</f>
        <v>150</v>
      </c>
      <c r="B155" s="69">
        <f>EDATE(入力設定!$B$7,A155-1)</f>
        <v>50861</v>
      </c>
      <c r="C155" s="80">
        <f>INDEX(入力設定!$C$15:$C$24,INT((A155-1)/60)+1)</f>
        <v>0.03</v>
      </c>
      <c r="D155" s="70">
        <f t="shared" ca="1" si="61"/>
        <v>21924064.388859507</v>
      </c>
      <c r="E155" s="70">
        <f t="shared" ca="1" si="62"/>
        <v>231</v>
      </c>
      <c r="F155" s="70">
        <f ca="1">IF(D155+Z155&lt;0.000001,0,IF(D155&lt;0.000001,F154,IF(OR(AE155=1,AND(K154&gt;0,入力設定!$B$8="返済額軽減型",入力設定!$B$11="翌月")),IF(C155=0,D155/MAX(1,E155),D155*(C155/12)/(1-(1+C155/12)^(-MAX(1,E155)))),F154)))</f>
        <v>125052.99264303216</v>
      </c>
      <c r="G155" s="70">
        <f t="shared" ca="1" si="44"/>
        <v>125052.99264303216</v>
      </c>
      <c r="H155" s="70">
        <f t="shared" ca="1" si="45"/>
        <v>54810.160972148762</v>
      </c>
      <c r="I155" s="70">
        <f t="shared" ca="1" si="46"/>
        <v>70242.831670883403</v>
      </c>
      <c r="J155" s="70">
        <f>SUMIFS(入力設定!$G$5:$G$24,入力設定!$F$5:$F$24,A155)</f>
        <v>0</v>
      </c>
      <c r="K155" s="70">
        <f t="shared" ca="1" si="47"/>
        <v>0</v>
      </c>
      <c r="L155" s="70">
        <f ca="1">IF(K155&gt;0,入力設定!$B$9,0)</f>
        <v>0</v>
      </c>
      <c r="M155" s="70">
        <f t="shared" ca="1" si="48"/>
        <v>21853821.557188623</v>
      </c>
      <c r="N155" s="70">
        <f ca="1">IF(M155+AA155&lt;0.000001,0,IF(AND(K155&gt;0,入力設定!$B$8="期間短縮型",AA155&lt;0.000001,F155&gt;M155*C155/12),MAX(1,MIN(E155-1,IF(C155=0,ROUNDUP(M155/F155,0),ROUNDUP(-LN(1-M155*(C155/12)/F155)/LN(1+C155/12),0)))),MAX(1,E155-1)))</f>
        <v>230</v>
      </c>
      <c r="O155" s="70">
        <f t="shared" ca="1" si="49"/>
        <v>125052.99264303216</v>
      </c>
      <c r="P155" s="70">
        <f t="shared" ca="1" si="63"/>
        <v>25294066.163912773</v>
      </c>
      <c r="Q155" s="70">
        <f ca="1">IF(OR(A155&gt;入力設定!$B$6*12,P155+AC155&lt;0.000001),0,IF(P155&lt;0.000001,Q154,IF(AE155=1,IF(C155=0,P155/MAX(1,入力設定!$B$6*12-A155+1),P155*(C155/12)/(1-(1+C155/12)^(-MAX(1,入力設定!$B$6*12-A155+1)))),Q154)))</f>
        <v>128609.0218444733</v>
      </c>
      <c r="R155" s="70">
        <f ca="1">IF(P155+AC155&lt;0.000001,0,IF(A155=入力設定!$B$6*12,P155+AB155+AC155,MIN(Q155,P155+AB155+AC155)))</f>
        <v>128609.0218444733</v>
      </c>
      <c r="S155" s="70">
        <f t="shared" ca="1" si="50"/>
        <v>63235.165409781934</v>
      </c>
      <c r="T155" s="70">
        <f t="shared" ca="1" si="51"/>
        <v>65373.85643469137</v>
      </c>
      <c r="U155" s="70">
        <f t="shared" ca="1" si="52"/>
        <v>25228692.307478081</v>
      </c>
      <c r="V155" s="70">
        <f t="shared" ca="1" si="53"/>
        <v>0</v>
      </c>
      <c r="W155" s="70">
        <f t="shared" ca="1" si="54"/>
        <v>0</v>
      </c>
      <c r="X155" s="70">
        <f t="shared" ca="1" si="55"/>
        <v>0</v>
      </c>
      <c r="Y155" s="71">
        <f t="shared" ca="1" si="56"/>
        <v>54810.160972148762</v>
      </c>
      <c r="Z155" s="71">
        <f t="shared" ca="1" si="64"/>
        <v>0</v>
      </c>
      <c r="AA155" s="71">
        <f t="shared" ca="1" si="57"/>
        <v>0</v>
      </c>
      <c r="AB155" s="71">
        <f t="shared" ca="1" si="58"/>
        <v>63235.165409781934</v>
      </c>
      <c r="AC155" s="71">
        <f t="shared" ca="1" si="65"/>
        <v>0</v>
      </c>
      <c r="AD155" s="71">
        <f t="shared" ca="1" si="59"/>
        <v>0</v>
      </c>
      <c r="AE155" s="72">
        <f t="shared" si="60"/>
        <v>0</v>
      </c>
      <c r="AF155" s="73">
        <f>IF(A155&gt;入力設定!$B$6*12,0,IF(AND(ISNUMBER(C155),C155&gt;=0,C155&lt;=1),0,1))</f>
        <v>0</v>
      </c>
    </row>
    <row r="156" spans="1:32" ht="21" customHeight="1">
      <c r="A156" s="68">
        <f>151</f>
        <v>151</v>
      </c>
      <c r="B156" s="69">
        <f>EDATE(入力設定!$B$7,A156-1)</f>
        <v>50891</v>
      </c>
      <c r="C156" s="80">
        <f>INDEX(入力設定!$C$15:$C$24,INT((A156-1)/60)+1)</f>
        <v>0.03</v>
      </c>
      <c r="D156" s="70">
        <f t="shared" ca="1" si="61"/>
        <v>21853821.557188623</v>
      </c>
      <c r="E156" s="70">
        <f t="shared" ca="1" si="62"/>
        <v>230</v>
      </c>
      <c r="F156" s="70">
        <f ca="1">IF(D156+Z156&lt;0.000001,0,IF(D156&lt;0.000001,F155,IF(OR(AE156=1,AND(K155&gt;0,入力設定!$B$8="返済額軽減型",入力設定!$B$11="翌月")),IF(C156=0,D156/MAX(1,E156),D156*(C156/12)/(1-(1+C156/12)^(-MAX(1,E156)))),F155)))</f>
        <v>125052.99264303216</v>
      </c>
      <c r="G156" s="70">
        <f t="shared" ca="1" si="44"/>
        <v>125052.99264303216</v>
      </c>
      <c r="H156" s="70">
        <f t="shared" ca="1" si="45"/>
        <v>54634.553892971548</v>
      </c>
      <c r="I156" s="70">
        <f t="shared" ca="1" si="46"/>
        <v>70418.438750060624</v>
      </c>
      <c r="J156" s="70">
        <f>SUMIFS(入力設定!$G$5:$G$24,入力設定!$F$5:$F$24,A156)</f>
        <v>0</v>
      </c>
      <c r="K156" s="70">
        <f t="shared" ca="1" si="47"/>
        <v>0</v>
      </c>
      <c r="L156" s="70">
        <f ca="1">IF(K156&gt;0,入力設定!$B$9,0)</f>
        <v>0</v>
      </c>
      <c r="M156" s="70">
        <f t="shared" ca="1" si="48"/>
        <v>21783403.118438561</v>
      </c>
      <c r="N156" s="70">
        <f ca="1">IF(M156+AA156&lt;0.000001,0,IF(AND(K156&gt;0,入力設定!$B$8="期間短縮型",AA156&lt;0.000001,F156&gt;M156*C156/12),MAX(1,MIN(E156-1,IF(C156=0,ROUNDUP(M156/F156,0),ROUNDUP(-LN(1-M156*(C156/12)/F156)/LN(1+C156/12),0)))),MAX(1,E156-1)))</f>
        <v>229</v>
      </c>
      <c r="O156" s="70">
        <f t="shared" ca="1" si="49"/>
        <v>125052.99264303216</v>
      </c>
      <c r="P156" s="70">
        <f t="shared" ca="1" si="63"/>
        <v>25228692.307478081</v>
      </c>
      <c r="Q156" s="70">
        <f ca="1">IF(OR(A156&gt;入力設定!$B$6*12,P156+AC156&lt;0.000001),0,IF(P156&lt;0.000001,Q155,IF(AE156=1,IF(C156=0,P156/MAX(1,入力設定!$B$6*12-A156+1),P156*(C156/12)/(1-(1+C156/12)^(-MAX(1,入力設定!$B$6*12-A156+1)))),Q155)))</f>
        <v>128609.0218444733</v>
      </c>
      <c r="R156" s="70">
        <f ca="1">IF(P156+AC156&lt;0.000001,0,IF(A156=入力設定!$B$6*12,P156+AB156+AC156,MIN(Q156,P156+AB156+AC156)))</f>
        <v>128609.0218444733</v>
      </c>
      <c r="S156" s="70">
        <f t="shared" ca="1" si="50"/>
        <v>63071.730768695204</v>
      </c>
      <c r="T156" s="70">
        <f t="shared" ca="1" si="51"/>
        <v>65537.291075778106</v>
      </c>
      <c r="U156" s="70">
        <f t="shared" ca="1" si="52"/>
        <v>25163155.016402304</v>
      </c>
      <c r="V156" s="70">
        <f t="shared" ca="1" si="53"/>
        <v>0</v>
      </c>
      <c r="W156" s="70">
        <f t="shared" ca="1" si="54"/>
        <v>0</v>
      </c>
      <c r="X156" s="70">
        <f t="shared" ca="1" si="55"/>
        <v>0</v>
      </c>
      <c r="Y156" s="71">
        <f t="shared" ca="1" si="56"/>
        <v>54634.553892971548</v>
      </c>
      <c r="Z156" s="71">
        <f t="shared" ca="1" si="64"/>
        <v>0</v>
      </c>
      <c r="AA156" s="71">
        <f t="shared" ca="1" si="57"/>
        <v>0</v>
      </c>
      <c r="AB156" s="71">
        <f t="shared" ca="1" si="58"/>
        <v>63071.730768695204</v>
      </c>
      <c r="AC156" s="71">
        <f t="shared" ca="1" si="65"/>
        <v>0</v>
      </c>
      <c r="AD156" s="71">
        <f t="shared" ca="1" si="59"/>
        <v>0</v>
      </c>
      <c r="AE156" s="72">
        <f t="shared" si="60"/>
        <v>0</v>
      </c>
      <c r="AF156" s="73">
        <f>IF(A156&gt;入力設定!$B$6*12,0,IF(AND(ISNUMBER(C156),C156&gt;=0,C156&lt;=1),0,1))</f>
        <v>0</v>
      </c>
    </row>
    <row r="157" spans="1:32" ht="21" customHeight="1">
      <c r="A157" s="68">
        <f>152</f>
        <v>152</v>
      </c>
      <c r="B157" s="69">
        <f>EDATE(入力設定!$B$7,A157-1)</f>
        <v>50922</v>
      </c>
      <c r="C157" s="80">
        <f>INDEX(入力設定!$C$15:$C$24,INT((A157-1)/60)+1)</f>
        <v>0.03</v>
      </c>
      <c r="D157" s="70">
        <f t="shared" ca="1" si="61"/>
        <v>21783403.118438561</v>
      </c>
      <c r="E157" s="70">
        <f t="shared" ca="1" si="62"/>
        <v>229</v>
      </c>
      <c r="F157" s="70">
        <f ca="1">IF(D157+Z157&lt;0.000001,0,IF(D157&lt;0.000001,F156,IF(OR(AE157=1,AND(K156&gt;0,入力設定!$B$8="返済額軽減型",入力設定!$B$11="翌月")),IF(C157=0,D157/MAX(1,E157),D157*(C157/12)/(1-(1+C157/12)^(-MAX(1,E157)))),F156)))</f>
        <v>125052.99264303216</v>
      </c>
      <c r="G157" s="70">
        <f t="shared" ca="1" si="44"/>
        <v>125052.99264303216</v>
      </c>
      <c r="H157" s="70">
        <f t="shared" ca="1" si="45"/>
        <v>54458.507796096404</v>
      </c>
      <c r="I157" s="70">
        <f t="shared" ca="1" si="46"/>
        <v>70594.484846935753</v>
      </c>
      <c r="J157" s="70">
        <f>SUMIFS(入力設定!$G$5:$G$24,入力設定!$F$5:$F$24,A157)</f>
        <v>0</v>
      </c>
      <c r="K157" s="70">
        <f t="shared" ca="1" si="47"/>
        <v>0</v>
      </c>
      <c r="L157" s="70">
        <f ca="1">IF(K157&gt;0,入力設定!$B$9,0)</f>
        <v>0</v>
      </c>
      <c r="M157" s="70">
        <f t="shared" ca="1" si="48"/>
        <v>21712808.633591626</v>
      </c>
      <c r="N157" s="70">
        <f ca="1">IF(M157+AA157&lt;0.000001,0,IF(AND(K157&gt;0,入力設定!$B$8="期間短縮型",AA157&lt;0.000001,F157&gt;M157*C157/12),MAX(1,MIN(E157-1,IF(C157=0,ROUNDUP(M157/F157,0),ROUNDUP(-LN(1-M157*(C157/12)/F157)/LN(1+C157/12),0)))),MAX(1,E157-1)))</f>
        <v>228</v>
      </c>
      <c r="O157" s="70">
        <f t="shared" ca="1" si="49"/>
        <v>125052.99264303216</v>
      </c>
      <c r="P157" s="70">
        <f t="shared" ca="1" si="63"/>
        <v>25163155.016402304</v>
      </c>
      <c r="Q157" s="70">
        <f ca="1">IF(OR(A157&gt;入力設定!$B$6*12,P157+AC157&lt;0.000001),0,IF(P157&lt;0.000001,Q156,IF(AE157=1,IF(C157=0,P157/MAX(1,入力設定!$B$6*12-A157+1),P157*(C157/12)/(1-(1+C157/12)^(-MAX(1,入力設定!$B$6*12-A157+1)))),Q156)))</f>
        <v>128609.0218444733</v>
      </c>
      <c r="R157" s="70">
        <f ca="1">IF(P157+AC157&lt;0.000001,0,IF(A157=入力設定!$B$6*12,P157+AB157+AC157,MIN(Q157,P157+AB157+AC157)))</f>
        <v>128609.0218444733</v>
      </c>
      <c r="S157" s="70">
        <f t="shared" ca="1" si="50"/>
        <v>62907.887541005759</v>
      </c>
      <c r="T157" s="70">
        <f t="shared" ca="1" si="51"/>
        <v>65701.134303467552</v>
      </c>
      <c r="U157" s="70">
        <f t="shared" ca="1" si="52"/>
        <v>25097453.882098835</v>
      </c>
      <c r="V157" s="70">
        <f t="shared" ca="1" si="53"/>
        <v>0</v>
      </c>
      <c r="W157" s="70">
        <f t="shared" ca="1" si="54"/>
        <v>0</v>
      </c>
      <c r="X157" s="70">
        <f t="shared" ca="1" si="55"/>
        <v>0</v>
      </c>
      <c r="Y157" s="71">
        <f t="shared" ca="1" si="56"/>
        <v>54458.507796096404</v>
      </c>
      <c r="Z157" s="71">
        <f t="shared" ca="1" si="64"/>
        <v>0</v>
      </c>
      <c r="AA157" s="71">
        <f t="shared" ca="1" si="57"/>
        <v>0</v>
      </c>
      <c r="AB157" s="71">
        <f t="shared" ca="1" si="58"/>
        <v>62907.887541005759</v>
      </c>
      <c r="AC157" s="71">
        <f t="shared" ca="1" si="65"/>
        <v>0</v>
      </c>
      <c r="AD157" s="71">
        <f t="shared" ca="1" si="59"/>
        <v>0</v>
      </c>
      <c r="AE157" s="72">
        <f t="shared" si="60"/>
        <v>0</v>
      </c>
      <c r="AF157" s="73">
        <f>IF(A157&gt;入力設定!$B$6*12,0,IF(AND(ISNUMBER(C157),C157&gt;=0,C157&lt;=1),0,1))</f>
        <v>0</v>
      </c>
    </row>
    <row r="158" spans="1:32" ht="21" customHeight="1">
      <c r="A158" s="68">
        <f>153</f>
        <v>153</v>
      </c>
      <c r="B158" s="69">
        <f>EDATE(入力設定!$B$7,A158-1)</f>
        <v>50952</v>
      </c>
      <c r="C158" s="80">
        <f>INDEX(入力設定!$C$15:$C$24,INT((A158-1)/60)+1)</f>
        <v>0.03</v>
      </c>
      <c r="D158" s="70">
        <f t="shared" ca="1" si="61"/>
        <v>21712808.633591626</v>
      </c>
      <c r="E158" s="70">
        <f t="shared" ca="1" si="62"/>
        <v>228</v>
      </c>
      <c r="F158" s="70">
        <f ca="1">IF(D158+Z158&lt;0.000001,0,IF(D158&lt;0.000001,F157,IF(OR(AE158=1,AND(K157&gt;0,入力設定!$B$8="返済額軽減型",入力設定!$B$11="翌月")),IF(C158=0,D158/MAX(1,E158),D158*(C158/12)/(1-(1+C158/12)^(-MAX(1,E158)))),F157)))</f>
        <v>125052.99264303216</v>
      </c>
      <c r="G158" s="70">
        <f t="shared" ca="1" si="44"/>
        <v>125052.99264303216</v>
      </c>
      <c r="H158" s="70">
        <f t="shared" ca="1" si="45"/>
        <v>54282.021583979069</v>
      </c>
      <c r="I158" s="70">
        <f t="shared" ca="1" si="46"/>
        <v>70770.971059053089</v>
      </c>
      <c r="J158" s="70">
        <f>SUMIFS(入力設定!$G$5:$G$24,入力設定!$F$5:$F$24,A158)</f>
        <v>0</v>
      </c>
      <c r="K158" s="70">
        <f t="shared" ca="1" si="47"/>
        <v>0</v>
      </c>
      <c r="L158" s="70">
        <f ca="1">IF(K158&gt;0,入力設定!$B$9,0)</f>
        <v>0</v>
      </c>
      <c r="M158" s="70">
        <f t="shared" ca="1" si="48"/>
        <v>21642037.662532572</v>
      </c>
      <c r="N158" s="70">
        <f ca="1">IF(M158+AA158&lt;0.000001,0,IF(AND(K158&gt;0,入力設定!$B$8="期間短縮型",AA158&lt;0.000001,F158&gt;M158*C158/12),MAX(1,MIN(E158-1,IF(C158=0,ROUNDUP(M158/F158,0),ROUNDUP(-LN(1-M158*(C158/12)/F158)/LN(1+C158/12),0)))),MAX(1,E158-1)))</f>
        <v>227</v>
      </c>
      <c r="O158" s="70">
        <f t="shared" ca="1" si="49"/>
        <v>125052.99264303216</v>
      </c>
      <c r="P158" s="70">
        <f t="shared" ca="1" si="63"/>
        <v>25097453.882098835</v>
      </c>
      <c r="Q158" s="70">
        <f ca="1">IF(OR(A158&gt;入力設定!$B$6*12,P158+AC158&lt;0.000001),0,IF(P158&lt;0.000001,Q157,IF(AE158=1,IF(C158=0,P158/MAX(1,入力設定!$B$6*12-A158+1),P158*(C158/12)/(1-(1+C158/12)^(-MAX(1,入力設定!$B$6*12-A158+1)))),Q157)))</f>
        <v>128609.0218444733</v>
      </c>
      <c r="R158" s="70">
        <f ca="1">IF(P158+AC158&lt;0.000001,0,IF(A158=入力設定!$B$6*12,P158+AB158+AC158,MIN(Q158,P158+AB158+AC158)))</f>
        <v>128609.0218444733</v>
      </c>
      <c r="S158" s="70">
        <f t="shared" ca="1" si="50"/>
        <v>62743.634705247088</v>
      </c>
      <c r="T158" s="70">
        <f t="shared" ca="1" si="51"/>
        <v>65865.387139226223</v>
      </c>
      <c r="U158" s="70">
        <f t="shared" ca="1" si="52"/>
        <v>25031588.494959608</v>
      </c>
      <c r="V158" s="70">
        <f t="shared" ca="1" si="53"/>
        <v>0</v>
      </c>
      <c r="W158" s="70">
        <f t="shared" ca="1" si="54"/>
        <v>0</v>
      </c>
      <c r="X158" s="70">
        <f t="shared" ca="1" si="55"/>
        <v>0</v>
      </c>
      <c r="Y158" s="71">
        <f t="shared" ca="1" si="56"/>
        <v>54282.021583979069</v>
      </c>
      <c r="Z158" s="71">
        <f t="shared" ca="1" si="64"/>
        <v>0</v>
      </c>
      <c r="AA158" s="71">
        <f t="shared" ca="1" si="57"/>
        <v>0</v>
      </c>
      <c r="AB158" s="71">
        <f t="shared" ca="1" si="58"/>
        <v>62743.634705247088</v>
      </c>
      <c r="AC158" s="71">
        <f t="shared" ca="1" si="65"/>
        <v>0</v>
      </c>
      <c r="AD158" s="71">
        <f t="shared" ca="1" si="59"/>
        <v>0</v>
      </c>
      <c r="AE158" s="72">
        <f t="shared" si="60"/>
        <v>0</v>
      </c>
      <c r="AF158" s="73">
        <f>IF(A158&gt;入力設定!$B$6*12,0,IF(AND(ISNUMBER(C158),C158&gt;=0,C158&lt;=1),0,1))</f>
        <v>0</v>
      </c>
    </row>
    <row r="159" spans="1:32" ht="21" customHeight="1">
      <c r="A159" s="68">
        <f>154</f>
        <v>154</v>
      </c>
      <c r="B159" s="69">
        <f>EDATE(入力設定!$B$7,A159-1)</f>
        <v>50983</v>
      </c>
      <c r="C159" s="80">
        <f>INDEX(入力設定!$C$15:$C$24,INT((A159-1)/60)+1)</f>
        <v>0.03</v>
      </c>
      <c r="D159" s="70">
        <f t="shared" ca="1" si="61"/>
        <v>21642037.662532572</v>
      </c>
      <c r="E159" s="70">
        <f t="shared" ca="1" si="62"/>
        <v>227</v>
      </c>
      <c r="F159" s="70">
        <f ca="1">IF(D159+Z159&lt;0.000001,0,IF(D159&lt;0.000001,F158,IF(OR(AE159=1,AND(K158&gt;0,入力設定!$B$8="返済額軽減型",入力設定!$B$11="翌月")),IF(C159=0,D159/MAX(1,E159),D159*(C159/12)/(1-(1+C159/12)^(-MAX(1,E159)))),F158)))</f>
        <v>125052.99264303216</v>
      </c>
      <c r="G159" s="70">
        <f t="shared" ca="1" si="44"/>
        <v>125052.99264303216</v>
      </c>
      <c r="H159" s="70">
        <f t="shared" ca="1" si="45"/>
        <v>54105.094156331434</v>
      </c>
      <c r="I159" s="70">
        <f t="shared" ca="1" si="46"/>
        <v>70947.898486700724</v>
      </c>
      <c r="J159" s="70">
        <f>SUMIFS(入力設定!$G$5:$G$24,入力設定!$F$5:$F$24,A159)</f>
        <v>0</v>
      </c>
      <c r="K159" s="70">
        <f t="shared" ca="1" si="47"/>
        <v>0</v>
      </c>
      <c r="L159" s="70">
        <f ca="1">IF(K159&gt;0,入力設定!$B$9,0)</f>
        <v>0</v>
      </c>
      <c r="M159" s="70">
        <f t="shared" ca="1" si="48"/>
        <v>21571089.764045872</v>
      </c>
      <c r="N159" s="70">
        <f ca="1">IF(M159+AA159&lt;0.000001,0,IF(AND(K159&gt;0,入力設定!$B$8="期間短縮型",AA159&lt;0.000001,F159&gt;M159*C159/12),MAX(1,MIN(E159-1,IF(C159=0,ROUNDUP(M159/F159,0),ROUNDUP(-LN(1-M159*(C159/12)/F159)/LN(1+C159/12),0)))),MAX(1,E159-1)))</f>
        <v>226</v>
      </c>
      <c r="O159" s="70">
        <f t="shared" ca="1" si="49"/>
        <v>125052.99264303216</v>
      </c>
      <c r="P159" s="70">
        <f t="shared" ca="1" si="63"/>
        <v>25031588.494959608</v>
      </c>
      <c r="Q159" s="70">
        <f ca="1">IF(OR(A159&gt;入力設定!$B$6*12,P159+AC159&lt;0.000001),0,IF(P159&lt;0.000001,Q158,IF(AE159=1,IF(C159=0,P159/MAX(1,入力設定!$B$6*12-A159+1),P159*(C159/12)/(1-(1+C159/12)^(-MAX(1,入力設定!$B$6*12-A159+1)))),Q158)))</f>
        <v>128609.0218444733</v>
      </c>
      <c r="R159" s="70">
        <f ca="1">IF(P159+AC159&lt;0.000001,0,IF(A159=入力設定!$B$6*12,P159+AB159+AC159,MIN(Q159,P159+AB159+AC159)))</f>
        <v>128609.0218444733</v>
      </c>
      <c r="S159" s="70">
        <f t="shared" ca="1" si="50"/>
        <v>62578.971237399011</v>
      </c>
      <c r="T159" s="70">
        <f t="shared" ca="1" si="51"/>
        <v>66030.050607074285</v>
      </c>
      <c r="U159" s="70">
        <f t="shared" ca="1" si="52"/>
        <v>24965558.444352534</v>
      </c>
      <c r="V159" s="70">
        <f t="shared" ca="1" si="53"/>
        <v>0</v>
      </c>
      <c r="W159" s="70">
        <f t="shared" ca="1" si="54"/>
        <v>0</v>
      </c>
      <c r="X159" s="70">
        <f t="shared" ca="1" si="55"/>
        <v>0</v>
      </c>
      <c r="Y159" s="71">
        <f t="shared" ca="1" si="56"/>
        <v>54105.094156331434</v>
      </c>
      <c r="Z159" s="71">
        <f t="shared" ca="1" si="64"/>
        <v>0</v>
      </c>
      <c r="AA159" s="71">
        <f t="shared" ca="1" si="57"/>
        <v>0</v>
      </c>
      <c r="AB159" s="71">
        <f t="shared" ca="1" si="58"/>
        <v>62578.971237399011</v>
      </c>
      <c r="AC159" s="71">
        <f t="shared" ca="1" si="65"/>
        <v>0</v>
      </c>
      <c r="AD159" s="71">
        <f t="shared" ca="1" si="59"/>
        <v>0</v>
      </c>
      <c r="AE159" s="72">
        <f t="shared" si="60"/>
        <v>0</v>
      </c>
      <c r="AF159" s="73">
        <f>IF(A159&gt;入力設定!$B$6*12,0,IF(AND(ISNUMBER(C159),C159&gt;=0,C159&lt;=1),0,1))</f>
        <v>0</v>
      </c>
    </row>
    <row r="160" spans="1:32" ht="21" customHeight="1">
      <c r="A160" s="68">
        <f>155</f>
        <v>155</v>
      </c>
      <c r="B160" s="69">
        <f>EDATE(入力設定!$B$7,A160-1)</f>
        <v>51014</v>
      </c>
      <c r="C160" s="80">
        <f>INDEX(入力設定!$C$15:$C$24,INT((A160-1)/60)+1)</f>
        <v>0.03</v>
      </c>
      <c r="D160" s="70">
        <f t="shared" ca="1" si="61"/>
        <v>21571089.764045872</v>
      </c>
      <c r="E160" s="70">
        <f t="shared" ca="1" si="62"/>
        <v>226</v>
      </c>
      <c r="F160" s="70">
        <f ca="1">IF(D160+Z160&lt;0.000001,0,IF(D160&lt;0.000001,F159,IF(OR(AE160=1,AND(K159&gt;0,入力設定!$B$8="返済額軽減型",入力設定!$B$11="翌月")),IF(C160=0,D160/MAX(1,E160),D160*(C160/12)/(1-(1+C160/12)^(-MAX(1,E160)))),F159)))</f>
        <v>125052.99264303216</v>
      </c>
      <c r="G160" s="70">
        <f t="shared" ca="1" si="44"/>
        <v>125052.99264303216</v>
      </c>
      <c r="H160" s="70">
        <f t="shared" ca="1" si="45"/>
        <v>53927.724410114672</v>
      </c>
      <c r="I160" s="70">
        <f t="shared" ca="1" si="46"/>
        <v>71125.2682329175</v>
      </c>
      <c r="J160" s="70">
        <f>SUMIFS(入力設定!$G$5:$G$24,入力設定!$F$5:$F$24,A160)</f>
        <v>0</v>
      </c>
      <c r="K160" s="70">
        <f t="shared" ca="1" si="47"/>
        <v>0</v>
      </c>
      <c r="L160" s="70">
        <f ca="1">IF(K160&gt;0,入力設定!$B$9,0)</f>
        <v>0</v>
      </c>
      <c r="M160" s="70">
        <f t="shared" ca="1" si="48"/>
        <v>21499964.495812953</v>
      </c>
      <c r="N160" s="70">
        <f ca="1">IF(M160+AA160&lt;0.000001,0,IF(AND(K160&gt;0,入力設定!$B$8="期間短縮型",AA160&lt;0.000001,F160&gt;M160*C160/12),MAX(1,MIN(E160-1,IF(C160=0,ROUNDUP(M160/F160,0),ROUNDUP(-LN(1-M160*(C160/12)/F160)/LN(1+C160/12),0)))),MAX(1,E160-1)))</f>
        <v>225</v>
      </c>
      <c r="O160" s="70">
        <f t="shared" ca="1" si="49"/>
        <v>125052.99264303216</v>
      </c>
      <c r="P160" s="70">
        <f t="shared" ca="1" si="63"/>
        <v>24965558.444352534</v>
      </c>
      <c r="Q160" s="70">
        <f ca="1">IF(OR(A160&gt;入力設定!$B$6*12,P160+AC160&lt;0.000001),0,IF(P160&lt;0.000001,Q159,IF(AE160=1,IF(C160=0,P160/MAX(1,入力設定!$B$6*12-A160+1),P160*(C160/12)/(1-(1+C160/12)^(-MAX(1,入力設定!$B$6*12-A160+1)))),Q159)))</f>
        <v>128609.0218444733</v>
      </c>
      <c r="R160" s="70">
        <f ca="1">IF(P160+AC160&lt;0.000001,0,IF(A160=入力設定!$B$6*12,P160+AB160+AC160,MIN(Q160,P160+AB160+AC160)))</f>
        <v>128609.0218444733</v>
      </c>
      <c r="S160" s="70">
        <f t="shared" ca="1" si="50"/>
        <v>62413.896110881331</v>
      </c>
      <c r="T160" s="70">
        <f t="shared" ca="1" si="51"/>
        <v>66195.125733591965</v>
      </c>
      <c r="U160" s="70">
        <f t="shared" ca="1" si="52"/>
        <v>24899363.318618942</v>
      </c>
      <c r="V160" s="70">
        <f t="shared" ca="1" si="53"/>
        <v>0</v>
      </c>
      <c r="W160" s="70">
        <f t="shared" ca="1" si="54"/>
        <v>0</v>
      </c>
      <c r="X160" s="70">
        <f t="shared" ca="1" si="55"/>
        <v>0</v>
      </c>
      <c r="Y160" s="71">
        <f t="shared" ca="1" si="56"/>
        <v>53927.724410114672</v>
      </c>
      <c r="Z160" s="71">
        <f t="shared" ca="1" si="64"/>
        <v>0</v>
      </c>
      <c r="AA160" s="71">
        <f t="shared" ca="1" si="57"/>
        <v>0</v>
      </c>
      <c r="AB160" s="71">
        <f t="shared" ca="1" si="58"/>
        <v>62413.896110881331</v>
      </c>
      <c r="AC160" s="71">
        <f t="shared" ca="1" si="65"/>
        <v>0</v>
      </c>
      <c r="AD160" s="71">
        <f t="shared" ca="1" si="59"/>
        <v>0</v>
      </c>
      <c r="AE160" s="72">
        <f t="shared" si="60"/>
        <v>0</v>
      </c>
      <c r="AF160" s="73">
        <f>IF(A160&gt;入力設定!$B$6*12,0,IF(AND(ISNUMBER(C160),C160&gt;=0,C160&lt;=1),0,1))</f>
        <v>0</v>
      </c>
    </row>
    <row r="161" spans="1:32" ht="21" customHeight="1">
      <c r="A161" s="68">
        <f>156</f>
        <v>156</v>
      </c>
      <c r="B161" s="69">
        <f>EDATE(入力設定!$B$7,A161-1)</f>
        <v>51044</v>
      </c>
      <c r="C161" s="80">
        <f>INDEX(入力設定!$C$15:$C$24,INT((A161-1)/60)+1)</f>
        <v>0.03</v>
      </c>
      <c r="D161" s="70">
        <f t="shared" ca="1" si="61"/>
        <v>21499964.495812953</v>
      </c>
      <c r="E161" s="70">
        <f t="shared" ca="1" si="62"/>
        <v>225</v>
      </c>
      <c r="F161" s="70">
        <f ca="1">IF(D161+Z161&lt;0.000001,0,IF(D161&lt;0.000001,F160,IF(OR(AE161=1,AND(K160&gt;0,入力設定!$B$8="返済額軽減型",入力設定!$B$11="翌月")),IF(C161=0,D161/MAX(1,E161),D161*(C161/12)/(1-(1+C161/12)^(-MAX(1,E161)))),F160)))</f>
        <v>125052.99264303216</v>
      </c>
      <c r="G161" s="70">
        <f t="shared" ca="1" si="44"/>
        <v>125052.99264303216</v>
      </c>
      <c r="H161" s="70">
        <f t="shared" ca="1" si="45"/>
        <v>53749.911239532375</v>
      </c>
      <c r="I161" s="70">
        <f t="shared" ca="1" si="46"/>
        <v>71303.081403499789</v>
      </c>
      <c r="J161" s="70">
        <f>SUMIFS(入力設定!$G$5:$G$24,入力設定!$F$5:$F$24,A161)</f>
        <v>0</v>
      </c>
      <c r="K161" s="70">
        <f t="shared" ca="1" si="47"/>
        <v>0</v>
      </c>
      <c r="L161" s="70">
        <f ca="1">IF(K161&gt;0,入力設定!$B$9,0)</f>
        <v>0</v>
      </c>
      <c r="M161" s="70">
        <f t="shared" ca="1" si="48"/>
        <v>21428661.414409451</v>
      </c>
      <c r="N161" s="70">
        <f ca="1">IF(M161+AA161&lt;0.000001,0,IF(AND(K161&gt;0,入力設定!$B$8="期間短縮型",AA161&lt;0.000001,F161&gt;M161*C161/12),MAX(1,MIN(E161-1,IF(C161=0,ROUNDUP(M161/F161,0),ROUNDUP(-LN(1-M161*(C161/12)/F161)/LN(1+C161/12),0)))),MAX(1,E161-1)))</f>
        <v>224</v>
      </c>
      <c r="O161" s="70">
        <f t="shared" ca="1" si="49"/>
        <v>125052.99264303216</v>
      </c>
      <c r="P161" s="70">
        <f t="shared" ca="1" si="63"/>
        <v>24899363.318618942</v>
      </c>
      <c r="Q161" s="70">
        <f ca="1">IF(OR(A161&gt;入力設定!$B$6*12,P161+AC161&lt;0.000001),0,IF(P161&lt;0.000001,Q160,IF(AE161=1,IF(C161=0,P161/MAX(1,入力設定!$B$6*12-A161+1),P161*(C161/12)/(1-(1+C161/12)^(-MAX(1,入力設定!$B$6*12-A161+1)))),Q160)))</f>
        <v>128609.0218444733</v>
      </c>
      <c r="R161" s="70">
        <f ca="1">IF(P161+AC161&lt;0.000001,0,IF(A161=入力設定!$B$6*12,P161+AB161+AC161,MIN(Q161,P161+AB161+AC161)))</f>
        <v>128609.0218444733</v>
      </c>
      <c r="S161" s="70">
        <f t="shared" ca="1" si="50"/>
        <v>62248.408296547357</v>
      </c>
      <c r="T161" s="70">
        <f t="shared" ca="1" si="51"/>
        <v>66360.613547925954</v>
      </c>
      <c r="U161" s="70">
        <f t="shared" ca="1" si="52"/>
        <v>24833002.705071017</v>
      </c>
      <c r="V161" s="70">
        <f t="shared" ca="1" si="53"/>
        <v>0</v>
      </c>
      <c r="W161" s="70">
        <f t="shared" ca="1" si="54"/>
        <v>0</v>
      </c>
      <c r="X161" s="70">
        <f t="shared" ca="1" si="55"/>
        <v>0</v>
      </c>
      <c r="Y161" s="71">
        <f t="shared" ca="1" si="56"/>
        <v>53749.911239532375</v>
      </c>
      <c r="Z161" s="71">
        <f t="shared" ca="1" si="64"/>
        <v>0</v>
      </c>
      <c r="AA161" s="71">
        <f t="shared" ca="1" si="57"/>
        <v>0</v>
      </c>
      <c r="AB161" s="71">
        <f t="shared" ca="1" si="58"/>
        <v>62248.408296547357</v>
      </c>
      <c r="AC161" s="71">
        <f t="shared" ca="1" si="65"/>
        <v>0</v>
      </c>
      <c r="AD161" s="71">
        <f t="shared" ca="1" si="59"/>
        <v>0</v>
      </c>
      <c r="AE161" s="72">
        <f t="shared" si="60"/>
        <v>0</v>
      </c>
      <c r="AF161" s="73">
        <f>IF(A161&gt;入力設定!$B$6*12,0,IF(AND(ISNUMBER(C161),C161&gt;=0,C161&lt;=1),0,1))</f>
        <v>0</v>
      </c>
    </row>
    <row r="162" spans="1:32" ht="21" customHeight="1">
      <c r="A162" s="68">
        <f>157</f>
        <v>157</v>
      </c>
      <c r="B162" s="69">
        <f>EDATE(入力設定!$B$7,A162-1)</f>
        <v>51075</v>
      </c>
      <c r="C162" s="80">
        <f>INDEX(入力設定!$C$15:$C$24,INT((A162-1)/60)+1)</f>
        <v>0.03</v>
      </c>
      <c r="D162" s="70">
        <f t="shared" ca="1" si="61"/>
        <v>21428661.414409451</v>
      </c>
      <c r="E162" s="70">
        <f t="shared" ca="1" si="62"/>
        <v>224</v>
      </c>
      <c r="F162" s="70">
        <f ca="1">IF(D162+Z162&lt;0.000001,0,IF(D162&lt;0.000001,F161,IF(OR(AE162=1,AND(K161&gt;0,入力設定!$B$8="返済額軽減型",入力設定!$B$11="翌月")),IF(C162=0,D162/MAX(1,E162),D162*(C162/12)/(1-(1+C162/12)^(-MAX(1,E162)))),F161)))</f>
        <v>125052.99264303216</v>
      </c>
      <c r="G162" s="70">
        <f t="shared" ca="1" si="44"/>
        <v>125052.99264303216</v>
      </c>
      <c r="H162" s="70">
        <f t="shared" ca="1" si="45"/>
        <v>53571.65353602363</v>
      </c>
      <c r="I162" s="70">
        <f t="shared" ca="1" si="46"/>
        <v>71481.339107008534</v>
      </c>
      <c r="J162" s="70">
        <f>SUMIFS(入力設定!$G$5:$G$24,入力設定!$F$5:$F$24,A162)</f>
        <v>0</v>
      </c>
      <c r="K162" s="70">
        <f t="shared" ca="1" si="47"/>
        <v>0</v>
      </c>
      <c r="L162" s="70">
        <f ca="1">IF(K162&gt;0,入力設定!$B$9,0)</f>
        <v>0</v>
      </c>
      <c r="M162" s="70">
        <f t="shared" ca="1" si="48"/>
        <v>21357180.075302444</v>
      </c>
      <c r="N162" s="70">
        <f ca="1">IF(M162+AA162&lt;0.000001,0,IF(AND(K162&gt;0,入力設定!$B$8="期間短縮型",AA162&lt;0.000001,F162&gt;M162*C162/12),MAX(1,MIN(E162-1,IF(C162=0,ROUNDUP(M162/F162,0),ROUNDUP(-LN(1-M162*(C162/12)/F162)/LN(1+C162/12),0)))),MAX(1,E162-1)))</f>
        <v>223</v>
      </c>
      <c r="O162" s="70">
        <f t="shared" ca="1" si="49"/>
        <v>125052.99264303216</v>
      </c>
      <c r="P162" s="70">
        <f t="shared" ca="1" si="63"/>
        <v>24833002.705071017</v>
      </c>
      <c r="Q162" s="70">
        <f ca="1">IF(OR(A162&gt;入力設定!$B$6*12,P162+AC162&lt;0.000001),0,IF(P162&lt;0.000001,Q161,IF(AE162=1,IF(C162=0,P162/MAX(1,入力設定!$B$6*12-A162+1),P162*(C162/12)/(1-(1+C162/12)^(-MAX(1,入力設定!$B$6*12-A162+1)))),Q161)))</f>
        <v>128609.0218444733</v>
      </c>
      <c r="R162" s="70">
        <f ca="1">IF(P162+AC162&lt;0.000001,0,IF(A162=入力設定!$B$6*12,P162+AB162+AC162,MIN(Q162,P162+AB162+AC162)))</f>
        <v>128609.0218444733</v>
      </c>
      <c r="S162" s="70">
        <f t="shared" ca="1" si="50"/>
        <v>62082.506762677542</v>
      </c>
      <c r="T162" s="70">
        <f t="shared" ca="1" si="51"/>
        <v>66526.515081795762</v>
      </c>
      <c r="U162" s="70">
        <f t="shared" ca="1" si="52"/>
        <v>24766476.18998922</v>
      </c>
      <c r="V162" s="70">
        <f t="shared" ca="1" si="53"/>
        <v>0</v>
      </c>
      <c r="W162" s="70">
        <f t="shared" ca="1" si="54"/>
        <v>0</v>
      </c>
      <c r="X162" s="70">
        <f t="shared" ca="1" si="55"/>
        <v>0</v>
      </c>
      <c r="Y162" s="71">
        <f t="shared" ca="1" si="56"/>
        <v>53571.65353602363</v>
      </c>
      <c r="Z162" s="71">
        <f t="shared" ca="1" si="64"/>
        <v>0</v>
      </c>
      <c r="AA162" s="71">
        <f t="shared" ca="1" si="57"/>
        <v>0</v>
      </c>
      <c r="AB162" s="71">
        <f t="shared" ca="1" si="58"/>
        <v>62082.506762677542</v>
      </c>
      <c r="AC162" s="71">
        <f t="shared" ca="1" si="65"/>
        <v>0</v>
      </c>
      <c r="AD162" s="71">
        <f t="shared" ca="1" si="59"/>
        <v>0</v>
      </c>
      <c r="AE162" s="72">
        <f t="shared" si="60"/>
        <v>0</v>
      </c>
      <c r="AF162" s="73">
        <f>IF(A162&gt;入力設定!$B$6*12,0,IF(AND(ISNUMBER(C162),C162&gt;=0,C162&lt;=1),0,1))</f>
        <v>0</v>
      </c>
    </row>
    <row r="163" spans="1:32" ht="21" customHeight="1">
      <c r="A163" s="68">
        <f>158</f>
        <v>158</v>
      </c>
      <c r="B163" s="69">
        <f>EDATE(入力設定!$B$7,A163-1)</f>
        <v>51105</v>
      </c>
      <c r="C163" s="80">
        <f>INDEX(入力設定!$C$15:$C$24,INT((A163-1)/60)+1)</f>
        <v>0.03</v>
      </c>
      <c r="D163" s="70">
        <f t="shared" ca="1" si="61"/>
        <v>21357180.075302444</v>
      </c>
      <c r="E163" s="70">
        <f t="shared" ca="1" si="62"/>
        <v>223</v>
      </c>
      <c r="F163" s="70">
        <f ca="1">IF(D163+Z163&lt;0.000001,0,IF(D163&lt;0.000001,F162,IF(OR(AE163=1,AND(K162&gt;0,入力設定!$B$8="返済額軽減型",入力設定!$B$11="翌月")),IF(C163=0,D163/MAX(1,E163),D163*(C163/12)/(1-(1+C163/12)^(-MAX(1,E163)))),F162)))</f>
        <v>125052.99264303216</v>
      </c>
      <c r="G163" s="70">
        <f t="shared" ca="1" si="44"/>
        <v>125052.99264303216</v>
      </c>
      <c r="H163" s="70">
        <f t="shared" ca="1" si="45"/>
        <v>53392.950188256109</v>
      </c>
      <c r="I163" s="70">
        <f t="shared" ca="1" si="46"/>
        <v>71660.042454776063</v>
      </c>
      <c r="J163" s="70">
        <f>SUMIFS(入力設定!$G$5:$G$24,入力設定!$F$5:$F$24,A163)</f>
        <v>0</v>
      </c>
      <c r="K163" s="70">
        <f t="shared" ca="1" si="47"/>
        <v>0</v>
      </c>
      <c r="L163" s="70">
        <f ca="1">IF(K163&gt;0,入力設定!$B$9,0)</f>
        <v>0</v>
      </c>
      <c r="M163" s="70">
        <f t="shared" ca="1" si="48"/>
        <v>21285520.032847669</v>
      </c>
      <c r="N163" s="70">
        <f ca="1">IF(M163+AA163&lt;0.000001,0,IF(AND(K163&gt;0,入力設定!$B$8="期間短縮型",AA163&lt;0.000001,F163&gt;M163*C163/12),MAX(1,MIN(E163-1,IF(C163=0,ROUNDUP(M163/F163,0),ROUNDUP(-LN(1-M163*(C163/12)/F163)/LN(1+C163/12),0)))),MAX(1,E163-1)))</f>
        <v>222</v>
      </c>
      <c r="O163" s="70">
        <f t="shared" ca="1" si="49"/>
        <v>125052.99264303216</v>
      </c>
      <c r="P163" s="70">
        <f t="shared" ca="1" si="63"/>
        <v>24766476.18998922</v>
      </c>
      <c r="Q163" s="70">
        <f ca="1">IF(OR(A163&gt;入力設定!$B$6*12,P163+AC163&lt;0.000001),0,IF(P163&lt;0.000001,Q162,IF(AE163=1,IF(C163=0,P163/MAX(1,入力設定!$B$6*12-A163+1),P163*(C163/12)/(1-(1+C163/12)^(-MAX(1,入力設定!$B$6*12-A163+1)))),Q162)))</f>
        <v>128609.0218444733</v>
      </c>
      <c r="R163" s="70">
        <f ca="1">IF(P163+AC163&lt;0.000001,0,IF(A163=入力設定!$B$6*12,P163+AB163+AC163,MIN(Q163,P163+AB163+AC163)))</f>
        <v>128609.0218444733</v>
      </c>
      <c r="S163" s="70">
        <f t="shared" ca="1" si="50"/>
        <v>61916.190474973053</v>
      </c>
      <c r="T163" s="70">
        <f t="shared" ca="1" si="51"/>
        <v>66692.831369500258</v>
      </c>
      <c r="U163" s="70">
        <f t="shared" ca="1" si="52"/>
        <v>24699783.35861972</v>
      </c>
      <c r="V163" s="70">
        <f t="shared" ca="1" si="53"/>
        <v>0</v>
      </c>
      <c r="W163" s="70">
        <f t="shared" ca="1" si="54"/>
        <v>0</v>
      </c>
      <c r="X163" s="70">
        <f t="shared" ca="1" si="55"/>
        <v>0</v>
      </c>
      <c r="Y163" s="71">
        <f t="shared" ca="1" si="56"/>
        <v>53392.950188256109</v>
      </c>
      <c r="Z163" s="71">
        <f t="shared" ca="1" si="64"/>
        <v>0</v>
      </c>
      <c r="AA163" s="71">
        <f t="shared" ca="1" si="57"/>
        <v>0</v>
      </c>
      <c r="AB163" s="71">
        <f t="shared" ca="1" si="58"/>
        <v>61916.190474973053</v>
      </c>
      <c r="AC163" s="71">
        <f t="shared" ca="1" si="65"/>
        <v>0</v>
      </c>
      <c r="AD163" s="71">
        <f t="shared" ca="1" si="59"/>
        <v>0</v>
      </c>
      <c r="AE163" s="72">
        <f t="shared" si="60"/>
        <v>0</v>
      </c>
      <c r="AF163" s="73">
        <f>IF(A163&gt;入力設定!$B$6*12,0,IF(AND(ISNUMBER(C163),C163&gt;=0,C163&lt;=1),0,1))</f>
        <v>0</v>
      </c>
    </row>
    <row r="164" spans="1:32" ht="21" customHeight="1">
      <c r="A164" s="68">
        <f>159</f>
        <v>159</v>
      </c>
      <c r="B164" s="69">
        <f>EDATE(入力設定!$B$7,A164-1)</f>
        <v>51136</v>
      </c>
      <c r="C164" s="80">
        <f>INDEX(入力設定!$C$15:$C$24,INT((A164-1)/60)+1)</f>
        <v>0.03</v>
      </c>
      <c r="D164" s="70">
        <f t="shared" ca="1" si="61"/>
        <v>21285520.032847669</v>
      </c>
      <c r="E164" s="70">
        <f t="shared" ca="1" si="62"/>
        <v>222</v>
      </c>
      <c r="F164" s="70">
        <f ca="1">IF(D164+Z164&lt;0.000001,0,IF(D164&lt;0.000001,F163,IF(OR(AE164=1,AND(K163&gt;0,入力設定!$B$8="返済額軽減型",入力設定!$B$11="翌月")),IF(C164=0,D164/MAX(1,E164),D164*(C164/12)/(1-(1+C164/12)^(-MAX(1,E164)))),F163)))</f>
        <v>125052.99264303216</v>
      </c>
      <c r="G164" s="70">
        <f t="shared" ca="1" si="44"/>
        <v>125052.99264303216</v>
      </c>
      <c r="H164" s="70">
        <f t="shared" ca="1" si="45"/>
        <v>53213.800082119174</v>
      </c>
      <c r="I164" s="70">
        <f t="shared" ca="1" si="46"/>
        <v>71839.192560912983</v>
      </c>
      <c r="J164" s="70">
        <f>SUMIFS(入力設定!$G$5:$G$24,入力設定!$F$5:$F$24,A164)</f>
        <v>0</v>
      </c>
      <c r="K164" s="70">
        <f t="shared" ca="1" si="47"/>
        <v>0</v>
      </c>
      <c r="L164" s="70">
        <f ca="1">IF(K164&gt;0,入力設定!$B$9,0)</f>
        <v>0</v>
      </c>
      <c r="M164" s="70">
        <f t="shared" ca="1" si="48"/>
        <v>21213680.840286758</v>
      </c>
      <c r="N164" s="70">
        <f ca="1">IF(M164+AA164&lt;0.000001,0,IF(AND(K164&gt;0,入力設定!$B$8="期間短縮型",AA164&lt;0.000001,F164&gt;M164*C164/12),MAX(1,MIN(E164-1,IF(C164=0,ROUNDUP(M164/F164,0),ROUNDUP(-LN(1-M164*(C164/12)/F164)/LN(1+C164/12),0)))),MAX(1,E164-1)))</f>
        <v>221</v>
      </c>
      <c r="O164" s="70">
        <f t="shared" ca="1" si="49"/>
        <v>125052.99264303216</v>
      </c>
      <c r="P164" s="70">
        <f t="shared" ca="1" si="63"/>
        <v>24699783.35861972</v>
      </c>
      <c r="Q164" s="70">
        <f ca="1">IF(OR(A164&gt;入力設定!$B$6*12,P164+AC164&lt;0.000001),0,IF(P164&lt;0.000001,Q163,IF(AE164=1,IF(C164=0,P164/MAX(1,入力設定!$B$6*12-A164+1),P164*(C164/12)/(1-(1+C164/12)^(-MAX(1,入力設定!$B$6*12-A164+1)))),Q163)))</f>
        <v>128609.0218444733</v>
      </c>
      <c r="R164" s="70">
        <f ca="1">IF(P164+AC164&lt;0.000001,0,IF(A164=入力設定!$B$6*12,P164+AB164+AC164,MIN(Q164,P164+AB164+AC164)))</f>
        <v>128609.0218444733</v>
      </c>
      <c r="S164" s="70">
        <f t="shared" ca="1" si="50"/>
        <v>61749.4583965493</v>
      </c>
      <c r="T164" s="70">
        <f t="shared" ca="1" si="51"/>
        <v>66859.563447924011</v>
      </c>
      <c r="U164" s="70">
        <f t="shared" ca="1" si="52"/>
        <v>24632923.795171797</v>
      </c>
      <c r="V164" s="70">
        <f t="shared" ca="1" si="53"/>
        <v>0</v>
      </c>
      <c r="W164" s="70">
        <f t="shared" ca="1" si="54"/>
        <v>0</v>
      </c>
      <c r="X164" s="70">
        <f t="shared" ca="1" si="55"/>
        <v>0</v>
      </c>
      <c r="Y164" s="71">
        <f t="shared" ca="1" si="56"/>
        <v>53213.800082119174</v>
      </c>
      <c r="Z164" s="71">
        <f t="shared" ca="1" si="64"/>
        <v>0</v>
      </c>
      <c r="AA164" s="71">
        <f t="shared" ca="1" si="57"/>
        <v>0</v>
      </c>
      <c r="AB164" s="71">
        <f t="shared" ca="1" si="58"/>
        <v>61749.4583965493</v>
      </c>
      <c r="AC164" s="71">
        <f t="shared" ca="1" si="65"/>
        <v>0</v>
      </c>
      <c r="AD164" s="71">
        <f t="shared" ca="1" si="59"/>
        <v>0</v>
      </c>
      <c r="AE164" s="72">
        <f t="shared" si="60"/>
        <v>0</v>
      </c>
      <c r="AF164" s="73">
        <f>IF(A164&gt;入力設定!$B$6*12,0,IF(AND(ISNUMBER(C164),C164&gt;=0,C164&lt;=1),0,1))</f>
        <v>0</v>
      </c>
    </row>
    <row r="165" spans="1:32" ht="21" customHeight="1">
      <c r="A165" s="68">
        <f>160</f>
        <v>160</v>
      </c>
      <c r="B165" s="69">
        <f>EDATE(入力設定!$B$7,A165-1)</f>
        <v>51167</v>
      </c>
      <c r="C165" s="80">
        <f>INDEX(入力設定!$C$15:$C$24,INT((A165-1)/60)+1)</f>
        <v>0.03</v>
      </c>
      <c r="D165" s="70">
        <f t="shared" ca="1" si="61"/>
        <v>21213680.840286758</v>
      </c>
      <c r="E165" s="70">
        <f t="shared" ca="1" si="62"/>
        <v>221</v>
      </c>
      <c r="F165" s="70">
        <f ca="1">IF(D165+Z165&lt;0.000001,0,IF(D165&lt;0.000001,F164,IF(OR(AE165=1,AND(K164&gt;0,入力設定!$B$8="返済額軽減型",入力設定!$B$11="翌月")),IF(C165=0,D165/MAX(1,E165),D165*(C165/12)/(1-(1+C165/12)^(-MAX(1,E165)))),F164)))</f>
        <v>125052.99264303216</v>
      </c>
      <c r="G165" s="70">
        <f t="shared" ca="1" si="44"/>
        <v>125052.99264303216</v>
      </c>
      <c r="H165" s="70">
        <f t="shared" ca="1" si="45"/>
        <v>53034.202100716888</v>
      </c>
      <c r="I165" s="70">
        <f t="shared" ca="1" si="46"/>
        <v>72018.790542315284</v>
      </c>
      <c r="J165" s="70">
        <f>SUMIFS(入力設定!$G$5:$G$24,入力設定!$F$5:$F$24,A165)</f>
        <v>0</v>
      </c>
      <c r="K165" s="70">
        <f t="shared" ca="1" si="47"/>
        <v>0</v>
      </c>
      <c r="L165" s="70">
        <f ca="1">IF(K165&gt;0,入力設定!$B$9,0)</f>
        <v>0</v>
      </c>
      <c r="M165" s="70">
        <f t="shared" ca="1" si="48"/>
        <v>21141662.049744442</v>
      </c>
      <c r="N165" s="70">
        <f ca="1">IF(M165+AA165&lt;0.000001,0,IF(AND(K165&gt;0,入力設定!$B$8="期間短縮型",AA165&lt;0.000001,F165&gt;M165*C165/12),MAX(1,MIN(E165-1,IF(C165=0,ROUNDUP(M165/F165,0),ROUNDUP(-LN(1-M165*(C165/12)/F165)/LN(1+C165/12),0)))),MAX(1,E165-1)))</f>
        <v>220</v>
      </c>
      <c r="O165" s="70">
        <f t="shared" ca="1" si="49"/>
        <v>125052.99264303216</v>
      </c>
      <c r="P165" s="70">
        <f t="shared" ca="1" si="63"/>
        <v>24632923.795171797</v>
      </c>
      <c r="Q165" s="70">
        <f ca="1">IF(OR(A165&gt;入力設定!$B$6*12,P165+AC165&lt;0.000001),0,IF(P165&lt;0.000001,Q164,IF(AE165=1,IF(C165=0,P165/MAX(1,入力設定!$B$6*12-A165+1),P165*(C165/12)/(1-(1+C165/12)^(-MAX(1,入力設定!$B$6*12-A165+1)))),Q164)))</f>
        <v>128609.0218444733</v>
      </c>
      <c r="R165" s="70">
        <f ca="1">IF(P165+AC165&lt;0.000001,0,IF(A165=入力設定!$B$6*12,P165+AB165+AC165,MIN(Q165,P165+AB165+AC165)))</f>
        <v>128609.0218444733</v>
      </c>
      <c r="S165" s="70">
        <f t="shared" ca="1" si="50"/>
        <v>61582.309487929488</v>
      </c>
      <c r="T165" s="70">
        <f t="shared" ca="1" si="51"/>
        <v>67026.712356543809</v>
      </c>
      <c r="U165" s="70">
        <f t="shared" ca="1" si="52"/>
        <v>24565897.082815252</v>
      </c>
      <c r="V165" s="70">
        <f t="shared" ca="1" si="53"/>
        <v>0</v>
      </c>
      <c r="W165" s="70">
        <f t="shared" ca="1" si="54"/>
        <v>0</v>
      </c>
      <c r="X165" s="70">
        <f t="shared" ca="1" si="55"/>
        <v>0</v>
      </c>
      <c r="Y165" s="71">
        <f t="shared" ca="1" si="56"/>
        <v>53034.202100716888</v>
      </c>
      <c r="Z165" s="71">
        <f t="shared" ca="1" si="64"/>
        <v>0</v>
      </c>
      <c r="AA165" s="71">
        <f t="shared" ca="1" si="57"/>
        <v>0</v>
      </c>
      <c r="AB165" s="71">
        <f t="shared" ca="1" si="58"/>
        <v>61582.309487929488</v>
      </c>
      <c r="AC165" s="71">
        <f t="shared" ca="1" si="65"/>
        <v>0</v>
      </c>
      <c r="AD165" s="71">
        <f t="shared" ca="1" si="59"/>
        <v>0</v>
      </c>
      <c r="AE165" s="72">
        <f t="shared" si="60"/>
        <v>0</v>
      </c>
      <c r="AF165" s="73">
        <f>IF(A165&gt;入力設定!$B$6*12,0,IF(AND(ISNUMBER(C165),C165&gt;=0,C165&lt;=1),0,1))</f>
        <v>0</v>
      </c>
    </row>
    <row r="166" spans="1:32" ht="21" customHeight="1">
      <c r="A166" s="68">
        <f>161</f>
        <v>161</v>
      </c>
      <c r="B166" s="69">
        <f>EDATE(入力設定!$B$7,A166-1)</f>
        <v>51196</v>
      </c>
      <c r="C166" s="80">
        <f>INDEX(入力設定!$C$15:$C$24,INT((A166-1)/60)+1)</f>
        <v>0.03</v>
      </c>
      <c r="D166" s="70">
        <f t="shared" ca="1" si="61"/>
        <v>21141662.049744442</v>
      </c>
      <c r="E166" s="70">
        <f t="shared" ca="1" si="62"/>
        <v>220</v>
      </c>
      <c r="F166" s="70">
        <f ca="1">IF(D166+Z166&lt;0.000001,0,IF(D166&lt;0.000001,F165,IF(OR(AE166=1,AND(K165&gt;0,入力設定!$B$8="返済額軽減型",入力設定!$B$11="翌月")),IF(C166=0,D166/MAX(1,E166),D166*(C166/12)/(1-(1+C166/12)^(-MAX(1,E166)))),F165)))</f>
        <v>125052.99264303216</v>
      </c>
      <c r="G166" s="70">
        <f t="shared" ca="1" si="44"/>
        <v>125052.99264303216</v>
      </c>
      <c r="H166" s="70">
        <f t="shared" ca="1" si="45"/>
        <v>52854.155124361103</v>
      </c>
      <c r="I166" s="70">
        <f t="shared" ca="1" si="46"/>
        <v>72198.837518671062</v>
      </c>
      <c r="J166" s="70">
        <f>SUMIFS(入力設定!$G$5:$G$24,入力設定!$F$5:$F$24,A166)</f>
        <v>0</v>
      </c>
      <c r="K166" s="70">
        <f t="shared" ca="1" si="47"/>
        <v>0</v>
      </c>
      <c r="L166" s="70">
        <f ca="1">IF(K166&gt;0,入力設定!$B$9,0)</f>
        <v>0</v>
      </c>
      <c r="M166" s="70">
        <f t="shared" ca="1" si="48"/>
        <v>21069463.212225772</v>
      </c>
      <c r="N166" s="70">
        <f ca="1">IF(M166+AA166&lt;0.000001,0,IF(AND(K166&gt;0,入力設定!$B$8="期間短縮型",AA166&lt;0.000001,F166&gt;M166*C166/12),MAX(1,MIN(E166-1,IF(C166=0,ROUNDUP(M166/F166,0),ROUNDUP(-LN(1-M166*(C166/12)/F166)/LN(1+C166/12),0)))),MAX(1,E166-1)))</f>
        <v>219</v>
      </c>
      <c r="O166" s="70">
        <f t="shared" ca="1" si="49"/>
        <v>125052.99264303216</v>
      </c>
      <c r="P166" s="70">
        <f t="shared" ca="1" si="63"/>
        <v>24565897.082815252</v>
      </c>
      <c r="Q166" s="70">
        <f ca="1">IF(OR(A166&gt;入力設定!$B$6*12,P166+AC166&lt;0.000001),0,IF(P166&lt;0.000001,Q165,IF(AE166=1,IF(C166=0,P166/MAX(1,入力設定!$B$6*12-A166+1),P166*(C166/12)/(1-(1+C166/12)^(-MAX(1,入力設定!$B$6*12-A166+1)))),Q165)))</f>
        <v>128609.0218444733</v>
      </c>
      <c r="R166" s="70">
        <f ca="1">IF(P166+AC166&lt;0.000001,0,IF(A166=入力設定!$B$6*12,P166+AB166+AC166,MIN(Q166,P166+AB166+AC166)))</f>
        <v>128609.0218444733</v>
      </c>
      <c r="S166" s="70">
        <f t="shared" ca="1" si="50"/>
        <v>61414.742707038124</v>
      </c>
      <c r="T166" s="70">
        <f t="shared" ca="1" si="51"/>
        <v>67194.27913743518</v>
      </c>
      <c r="U166" s="70">
        <f t="shared" ca="1" si="52"/>
        <v>24498702.803677816</v>
      </c>
      <c r="V166" s="70">
        <f t="shared" ca="1" si="53"/>
        <v>0</v>
      </c>
      <c r="W166" s="70">
        <f t="shared" ca="1" si="54"/>
        <v>0</v>
      </c>
      <c r="X166" s="70">
        <f t="shared" ca="1" si="55"/>
        <v>0</v>
      </c>
      <c r="Y166" s="71">
        <f t="shared" ca="1" si="56"/>
        <v>52854.155124361103</v>
      </c>
      <c r="Z166" s="71">
        <f t="shared" ca="1" si="64"/>
        <v>0</v>
      </c>
      <c r="AA166" s="71">
        <f t="shared" ca="1" si="57"/>
        <v>0</v>
      </c>
      <c r="AB166" s="71">
        <f t="shared" ca="1" si="58"/>
        <v>61414.742707038124</v>
      </c>
      <c r="AC166" s="71">
        <f t="shared" ca="1" si="65"/>
        <v>0</v>
      </c>
      <c r="AD166" s="71">
        <f t="shared" ca="1" si="59"/>
        <v>0</v>
      </c>
      <c r="AE166" s="72">
        <f t="shared" si="60"/>
        <v>0</v>
      </c>
      <c r="AF166" s="73">
        <f>IF(A166&gt;入力設定!$B$6*12,0,IF(AND(ISNUMBER(C166),C166&gt;=0,C166&lt;=1),0,1))</f>
        <v>0</v>
      </c>
    </row>
    <row r="167" spans="1:32" ht="21" customHeight="1">
      <c r="A167" s="68">
        <f>162</f>
        <v>162</v>
      </c>
      <c r="B167" s="69">
        <f>EDATE(入力設定!$B$7,A167-1)</f>
        <v>51227</v>
      </c>
      <c r="C167" s="80">
        <f>INDEX(入力設定!$C$15:$C$24,INT((A167-1)/60)+1)</f>
        <v>0.03</v>
      </c>
      <c r="D167" s="70">
        <f t="shared" ca="1" si="61"/>
        <v>21069463.212225772</v>
      </c>
      <c r="E167" s="70">
        <f t="shared" ca="1" si="62"/>
        <v>219</v>
      </c>
      <c r="F167" s="70">
        <f ca="1">IF(D167+Z167&lt;0.000001,0,IF(D167&lt;0.000001,F166,IF(OR(AE167=1,AND(K166&gt;0,入力設定!$B$8="返済額軽減型",入力設定!$B$11="翌月")),IF(C167=0,D167/MAX(1,E167),D167*(C167/12)/(1-(1+C167/12)^(-MAX(1,E167)))),F166)))</f>
        <v>125052.99264303216</v>
      </c>
      <c r="G167" s="70">
        <f t="shared" ca="1" si="44"/>
        <v>125052.99264303216</v>
      </c>
      <c r="H167" s="70">
        <f t="shared" ca="1" si="45"/>
        <v>52673.658030564431</v>
      </c>
      <c r="I167" s="70">
        <f t="shared" ca="1" si="46"/>
        <v>72379.334612467734</v>
      </c>
      <c r="J167" s="70">
        <f>SUMIFS(入力設定!$G$5:$G$24,入力設定!$F$5:$F$24,A167)</f>
        <v>0</v>
      </c>
      <c r="K167" s="70">
        <f t="shared" ca="1" si="47"/>
        <v>0</v>
      </c>
      <c r="L167" s="70">
        <f ca="1">IF(K167&gt;0,入力設定!$B$9,0)</f>
        <v>0</v>
      </c>
      <c r="M167" s="70">
        <f t="shared" ca="1" si="48"/>
        <v>20997083.877613306</v>
      </c>
      <c r="N167" s="70">
        <f ca="1">IF(M167+AA167&lt;0.000001,0,IF(AND(K167&gt;0,入力設定!$B$8="期間短縮型",AA167&lt;0.000001,F167&gt;M167*C167/12),MAX(1,MIN(E167-1,IF(C167=0,ROUNDUP(M167/F167,0),ROUNDUP(-LN(1-M167*(C167/12)/F167)/LN(1+C167/12),0)))),MAX(1,E167-1)))</f>
        <v>218</v>
      </c>
      <c r="O167" s="70">
        <f t="shared" ca="1" si="49"/>
        <v>125052.99264303216</v>
      </c>
      <c r="P167" s="70">
        <f t="shared" ca="1" si="63"/>
        <v>24498702.803677816</v>
      </c>
      <c r="Q167" s="70">
        <f ca="1">IF(OR(A167&gt;入力設定!$B$6*12,P167+AC167&lt;0.000001),0,IF(P167&lt;0.000001,Q166,IF(AE167=1,IF(C167=0,P167/MAX(1,入力設定!$B$6*12-A167+1),P167*(C167/12)/(1-(1+C167/12)^(-MAX(1,入力設定!$B$6*12-A167+1)))),Q166)))</f>
        <v>128609.0218444733</v>
      </c>
      <c r="R167" s="70">
        <f ca="1">IF(P167+AC167&lt;0.000001,0,IF(A167=入力設定!$B$6*12,P167+AB167+AC167,MIN(Q167,P167+AB167+AC167)))</f>
        <v>128609.0218444733</v>
      </c>
      <c r="S167" s="70">
        <f t="shared" ca="1" si="50"/>
        <v>61246.757009194531</v>
      </c>
      <c r="T167" s="70">
        <f t="shared" ca="1" si="51"/>
        <v>67362.264835278766</v>
      </c>
      <c r="U167" s="70">
        <f t="shared" ca="1" si="52"/>
        <v>24431340.538842537</v>
      </c>
      <c r="V167" s="70">
        <f t="shared" ca="1" si="53"/>
        <v>0</v>
      </c>
      <c r="W167" s="70">
        <f t="shared" ca="1" si="54"/>
        <v>0</v>
      </c>
      <c r="X167" s="70">
        <f t="shared" ca="1" si="55"/>
        <v>0</v>
      </c>
      <c r="Y167" s="71">
        <f t="shared" ca="1" si="56"/>
        <v>52673.658030564431</v>
      </c>
      <c r="Z167" s="71">
        <f t="shared" ca="1" si="64"/>
        <v>0</v>
      </c>
      <c r="AA167" s="71">
        <f t="shared" ca="1" si="57"/>
        <v>0</v>
      </c>
      <c r="AB167" s="71">
        <f t="shared" ca="1" si="58"/>
        <v>61246.757009194531</v>
      </c>
      <c r="AC167" s="71">
        <f t="shared" ca="1" si="65"/>
        <v>0</v>
      </c>
      <c r="AD167" s="71">
        <f t="shared" ca="1" si="59"/>
        <v>0</v>
      </c>
      <c r="AE167" s="72">
        <f t="shared" si="60"/>
        <v>0</v>
      </c>
      <c r="AF167" s="73">
        <f>IF(A167&gt;入力設定!$B$6*12,0,IF(AND(ISNUMBER(C167),C167&gt;=0,C167&lt;=1),0,1))</f>
        <v>0</v>
      </c>
    </row>
    <row r="168" spans="1:32" ht="21" customHeight="1">
      <c r="A168" s="68">
        <f>163</f>
        <v>163</v>
      </c>
      <c r="B168" s="69">
        <f>EDATE(入力設定!$B$7,A168-1)</f>
        <v>51257</v>
      </c>
      <c r="C168" s="80">
        <f>INDEX(入力設定!$C$15:$C$24,INT((A168-1)/60)+1)</f>
        <v>0.03</v>
      </c>
      <c r="D168" s="70">
        <f t="shared" ca="1" si="61"/>
        <v>20997083.877613306</v>
      </c>
      <c r="E168" s="70">
        <f t="shared" ca="1" si="62"/>
        <v>218</v>
      </c>
      <c r="F168" s="70">
        <f ca="1">IF(D168+Z168&lt;0.000001,0,IF(D168&lt;0.000001,F167,IF(OR(AE168=1,AND(K167&gt;0,入力設定!$B$8="返済額軽減型",入力設定!$B$11="翌月")),IF(C168=0,D168/MAX(1,E168),D168*(C168/12)/(1-(1+C168/12)^(-MAX(1,E168)))),F167)))</f>
        <v>125052.99264303216</v>
      </c>
      <c r="G168" s="70">
        <f t="shared" ca="1" si="44"/>
        <v>125052.99264303216</v>
      </c>
      <c r="H168" s="70">
        <f t="shared" ca="1" si="45"/>
        <v>52492.709694033263</v>
      </c>
      <c r="I168" s="70">
        <f t="shared" ca="1" si="46"/>
        <v>72560.282948998909</v>
      </c>
      <c r="J168" s="70">
        <f>SUMIFS(入力設定!$G$5:$G$24,入力設定!$F$5:$F$24,A168)</f>
        <v>0</v>
      </c>
      <c r="K168" s="70">
        <f t="shared" ca="1" si="47"/>
        <v>0</v>
      </c>
      <c r="L168" s="70">
        <f ca="1">IF(K168&gt;0,入力設定!$B$9,0)</f>
        <v>0</v>
      </c>
      <c r="M168" s="70">
        <f t="shared" ca="1" si="48"/>
        <v>20924523.594664305</v>
      </c>
      <c r="N168" s="70">
        <f ca="1">IF(M168+AA168&lt;0.000001,0,IF(AND(K168&gt;0,入力設定!$B$8="期間短縮型",AA168&lt;0.000001,F168&gt;M168*C168/12),MAX(1,MIN(E168-1,IF(C168=0,ROUNDUP(M168/F168,0),ROUNDUP(-LN(1-M168*(C168/12)/F168)/LN(1+C168/12),0)))),MAX(1,E168-1)))</f>
        <v>217</v>
      </c>
      <c r="O168" s="70">
        <f t="shared" ca="1" si="49"/>
        <v>125052.99264303216</v>
      </c>
      <c r="P168" s="70">
        <f t="shared" ca="1" si="63"/>
        <v>24431340.538842537</v>
      </c>
      <c r="Q168" s="70">
        <f ca="1">IF(OR(A168&gt;入力設定!$B$6*12,P168+AC168&lt;0.000001),0,IF(P168&lt;0.000001,Q167,IF(AE168=1,IF(C168=0,P168/MAX(1,入力設定!$B$6*12-A168+1),P168*(C168/12)/(1-(1+C168/12)^(-MAX(1,入力設定!$B$6*12-A168+1)))),Q167)))</f>
        <v>128609.0218444733</v>
      </c>
      <c r="R168" s="70">
        <f ca="1">IF(P168+AC168&lt;0.000001,0,IF(A168=入力設定!$B$6*12,P168+AB168+AC168,MIN(Q168,P168+AB168+AC168)))</f>
        <v>128609.0218444733</v>
      </c>
      <c r="S168" s="70">
        <f t="shared" ca="1" si="50"/>
        <v>61078.351347106334</v>
      </c>
      <c r="T168" s="70">
        <f t="shared" ca="1" si="51"/>
        <v>67530.670497366969</v>
      </c>
      <c r="U168" s="70">
        <f t="shared" ca="1" si="52"/>
        <v>24363809.868345171</v>
      </c>
      <c r="V168" s="70">
        <f t="shared" ca="1" si="53"/>
        <v>0</v>
      </c>
      <c r="W168" s="70">
        <f t="shared" ca="1" si="54"/>
        <v>0</v>
      </c>
      <c r="X168" s="70">
        <f t="shared" ca="1" si="55"/>
        <v>0</v>
      </c>
      <c r="Y168" s="71">
        <f t="shared" ca="1" si="56"/>
        <v>52492.709694033263</v>
      </c>
      <c r="Z168" s="71">
        <f t="shared" ca="1" si="64"/>
        <v>0</v>
      </c>
      <c r="AA168" s="71">
        <f t="shared" ca="1" si="57"/>
        <v>0</v>
      </c>
      <c r="AB168" s="71">
        <f t="shared" ca="1" si="58"/>
        <v>61078.351347106334</v>
      </c>
      <c r="AC168" s="71">
        <f t="shared" ca="1" si="65"/>
        <v>0</v>
      </c>
      <c r="AD168" s="71">
        <f t="shared" ca="1" si="59"/>
        <v>0</v>
      </c>
      <c r="AE168" s="72">
        <f t="shared" si="60"/>
        <v>0</v>
      </c>
      <c r="AF168" s="73">
        <f>IF(A168&gt;入力設定!$B$6*12,0,IF(AND(ISNUMBER(C168),C168&gt;=0,C168&lt;=1),0,1))</f>
        <v>0</v>
      </c>
    </row>
    <row r="169" spans="1:32" ht="21" customHeight="1">
      <c r="A169" s="68">
        <f>164</f>
        <v>164</v>
      </c>
      <c r="B169" s="69">
        <f>EDATE(入力設定!$B$7,A169-1)</f>
        <v>51288</v>
      </c>
      <c r="C169" s="80">
        <f>INDEX(入力設定!$C$15:$C$24,INT((A169-1)/60)+1)</f>
        <v>0.03</v>
      </c>
      <c r="D169" s="70">
        <f t="shared" ca="1" si="61"/>
        <v>20924523.594664305</v>
      </c>
      <c r="E169" s="70">
        <f t="shared" ca="1" si="62"/>
        <v>217</v>
      </c>
      <c r="F169" s="70">
        <f ca="1">IF(D169+Z169&lt;0.000001,0,IF(D169&lt;0.000001,F168,IF(OR(AE169=1,AND(K168&gt;0,入力設定!$B$8="返済額軽減型",入力設定!$B$11="翌月")),IF(C169=0,D169/MAX(1,E169),D169*(C169/12)/(1-(1+C169/12)^(-MAX(1,E169)))),F168)))</f>
        <v>125052.99264303216</v>
      </c>
      <c r="G169" s="70">
        <f t="shared" ca="1" si="44"/>
        <v>125052.99264303216</v>
      </c>
      <c r="H169" s="70">
        <f t="shared" ca="1" si="45"/>
        <v>52311.308986660762</v>
      </c>
      <c r="I169" s="70">
        <f t="shared" ca="1" si="46"/>
        <v>72741.683656371402</v>
      </c>
      <c r="J169" s="70">
        <f>SUMIFS(入力設定!$G$5:$G$24,入力設定!$F$5:$F$24,A169)</f>
        <v>0</v>
      </c>
      <c r="K169" s="70">
        <f t="shared" ca="1" si="47"/>
        <v>0</v>
      </c>
      <c r="L169" s="70">
        <f ca="1">IF(K169&gt;0,入力設定!$B$9,0)</f>
        <v>0</v>
      </c>
      <c r="M169" s="70">
        <f t="shared" ca="1" si="48"/>
        <v>20851781.911007933</v>
      </c>
      <c r="N169" s="70">
        <f ca="1">IF(M169+AA169&lt;0.000001,0,IF(AND(K169&gt;0,入力設定!$B$8="期間短縮型",AA169&lt;0.000001,F169&gt;M169*C169/12),MAX(1,MIN(E169-1,IF(C169=0,ROUNDUP(M169/F169,0),ROUNDUP(-LN(1-M169*(C169/12)/F169)/LN(1+C169/12),0)))),MAX(1,E169-1)))</f>
        <v>216</v>
      </c>
      <c r="O169" s="70">
        <f t="shared" ca="1" si="49"/>
        <v>125052.99264303216</v>
      </c>
      <c r="P169" s="70">
        <f t="shared" ca="1" si="63"/>
        <v>24363809.868345171</v>
      </c>
      <c r="Q169" s="70">
        <f ca="1">IF(OR(A169&gt;入力設定!$B$6*12,P169+AC169&lt;0.000001),0,IF(P169&lt;0.000001,Q168,IF(AE169=1,IF(C169=0,P169/MAX(1,入力設定!$B$6*12-A169+1),P169*(C169/12)/(1-(1+C169/12)^(-MAX(1,入力設定!$B$6*12-A169+1)))),Q168)))</f>
        <v>128609.0218444733</v>
      </c>
      <c r="R169" s="70">
        <f ca="1">IF(P169+AC169&lt;0.000001,0,IF(A169=入力設定!$B$6*12,P169+AB169+AC169,MIN(Q169,P169+AB169+AC169)))</f>
        <v>128609.0218444733</v>
      </c>
      <c r="S169" s="70">
        <f t="shared" ca="1" si="50"/>
        <v>60909.52467086292</v>
      </c>
      <c r="T169" s="70">
        <f t="shared" ca="1" si="51"/>
        <v>67699.497173610376</v>
      </c>
      <c r="U169" s="70">
        <f t="shared" ca="1" si="52"/>
        <v>24296110.37117156</v>
      </c>
      <c r="V169" s="70">
        <f t="shared" ca="1" si="53"/>
        <v>0</v>
      </c>
      <c r="W169" s="70">
        <f t="shared" ca="1" si="54"/>
        <v>0</v>
      </c>
      <c r="X169" s="70">
        <f t="shared" ca="1" si="55"/>
        <v>0</v>
      </c>
      <c r="Y169" s="71">
        <f t="shared" ca="1" si="56"/>
        <v>52311.308986660762</v>
      </c>
      <c r="Z169" s="71">
        <f t="shared" ca="1" si="64"/>
        <v>0</v>
      </c>
      <c r="AA169" s="71">
        <f t="shared" ca="1" si="57"/>
        <v>0</v>
      </c>
      <c r="AB169" s="71">
        <f t="shared" ca="1" si="58"/>
        <v>60909.52467086292</v>
      </c>
      <c r="AC169" s="71">
        <f t="shared" ca="1" si="65"/>
        <v>0</v>
      </c>
      <c r="AD169" s="71">
        <f t="shared" ca="1" si="59"/>
        <v>0</v>
      </c>
      <c r="AE169" s="72">
        <f t="shared" si="60"/>
        <v>0</v>
      </c>
      <c r="AF169" s="73">
        <f>IF(A169&gt;入力設定!$B$6*12,0,IF(AND(ISNUMBER(C169),C169&gt;=0,C169&lt;=1),0,1))</f>
        <v>0</v>
      </c>
    </row>
    <row r="170" spans="1:32" ht="21" customHeight="1">
      <c r="A170" s="68">
        <f>165</f>
        <v>165</v>
      </c>
      <c r="B170" s="69">
        <f>EDATE(入力設定!$B$7,A170-1)</f>
        <v>51318</v>
      </c>
      <c r="C170" s="80">
        <f>INDEX(入力設定!$C$15:$C$24,INT((A170-1)/60)+1)</f>
        <v>0.03</v>
      </c>
      <c r="D170" s="70">
        <f t="shared" ca="1" si="61"/>
        <v>20851781.911007933</v>
      </c>
      <c r="E170" s="70">
        <f t="shared" ca="1" si="62"/>
        <v>216</v>
      </c>
      <c r="F170" s="70">
        <f ca="1">IF(D170+Z170&lt;0.000001,0,IF(D170&lt;0.000001,F169,IF(OR(AE170=1,AND(K169&gt;0,入力設定!$B$8="返済額軽減型",入力設定!$B$11="翌月")),IF(C170=0,D170/MAX(1,E170),D170*(C170/12)/(1-(1+C170/12)^(-MAX(1,E170)))),F169)))</f>
        <v>125052.99264303216</v>
      </c>
      <c r="G170" s="70">
        <f t="shared" ca="1" si="44"/>
        <v>125052.99264303216</v>
      </c>
      <c r="H170" s="70">
        <f t="shared" ca="1" si="45"/>
        <v>52129.45477751983</v>
      </c>
      <c r="I170" s="70">
        <f t="shared" ca="1" si="46"/>
        <v>72923.537865512335</v>
      </c>
      <c r="J170" s="70">
        <f>SUMIFS(入力設定!$G$5:$G$24,入力設定!$F$5:$F$24,A170)</f>
        <v>0</v>
      </c>
      <c r="K170" s="70">
        <f t="shared" ca="1" si="47"/>
        <v>0</v>
      </c>
      <c r="L170" s="70">
        <f ca="1">IF(K170&gt;0,入力設定!$B$9,0)</f>
        <v>0</v>
      </c>
      <c r="M170" s="70">
        <f t="shared" ca="1" si="48"/>
        <v>20778858.373142421</v>
      </c>
      <c r="N170" s="70">
        <f ca="1">IF(M170+AA170&lt;0.000001,0,IF(AND(K170&gt;0,入力設定!$B$8="期間短縮型",AA170&lt;0.000001,F170&gt;M170*C170/12),MAX(1,MIN(E170-1,IF(C170=0,ROUNDUP(M170/F170,0),ROUNDUP(-LN(1-M170*(C170/12)/F170)/LN(1+C170/12),0)))),MAX(1,E170-1)))</f>
        <v>215</v>
      </c>
      <c r="O170" s="70">
        <f t="shared" ca="1" si="49"/>
        <v>125052.99264303216</v>
      </c>
      <c r="P170" s="70">
        <f t="shared" ca="1" si="63"/>
        <v>24296110.37117156</v>
      </c>
      <c r="Q170" s="70">
        <f ca="1">IF(OR(A170&gt;入力設定!$B$6*12,P170+AC170&lt;0.000001),0,IF(P170&lt;0.000001,Q169,IF(AE170=1,IF(C170=0,P170/MAX(1,入力設定!$B$6*12-A170+1),P170*(C170/12)/(1-(1+C170/12)^(-MAX(1,入力設定!$B$6*12-A170+1)))),Q169)))</f>
        <v>128609.0218444733</v>
      </c>
      <c r="R170" s="70">
        <f ca="1">IF(P170+AC170&lt;0.000001,0,IF(A170=入力設定!$B$6*12,P170+AB170+AC170,MIN(Q170,P170+AB170+AC170)))</f>
        <v>128609.0218444733</v>
      </c>
      <c r="S170" s="70">
        <f t="shared" ca="1" si="50"/>
        <v>60740.275927928895</v>
      </c>
      <c r="T170" s="70">
        <f t="shared" ca="1" si="51"/>
        <v>67868.745916544402</v>
      </c>
      <c r="U170" s="70">
        <f t="shared" ca="1" si="52"/>
        <v>24228241.625255015</v>
      </c>
      <c r="V170" s="70">
        <f t="shared" ca="1" si="53"/>
        <v>0</v>
      </c>
      <c r="W170" s="70">
        <f t="shared" ca="1" si="54"/>
        <v>0</v>
      </c>
      <c r="X170" s="70">
        <f t="shared" ca="1" si="55"/>
        <v>0</v>
      </c>
      <c r="Y170" s="71">
        <f t="shared" ca="1" si="56"/>
        <v>52129.45477751983</v>
      </c>
      <c r="Z170" s="71">
        <f t="shared" ca="1" si="64"/>
        <v>0</v>
      </c>
      <c r="AA170" s="71">
        <f t="shared" ca="1" si="57"/>
        <v>0</v>
      </c>
      <c r="AB170" s="71">
        <f t="shared" ca="1" si="58"/>
        <v>60740.275927928895</v>
      </c>
      <c r="AC170" s="71">
        <f t="shared" ca="1" si="65"/>
        <v>0</v>
      </c>
      <c r="AD170" s="71">
        <f t="shared" ca="1" si="59"/>
        <v>0</v>
      </c>
      <c r="AE170" s="72">
        <f t="shared" si="60"/>
        <v>0</v>
      </c>
      <c r="AF170" s="73">
        <f>IF(A170&gt;入力設定!$B$6*12,0,IF(AND(ISNUMBER(C170),C170&gt;=0,C170&lt;=1),0,1))</f>
        <v>0</v>
      </c>
    </row>
    <row r="171" spans="1:32" ht="21" customHeight="1">
      <c r="A171" s="68">
        <f>166</f>
        <v>166</v>
      </c>
      <c r="B171" s="69">
        <f>EDATE(入力設定!$B$7,A171-1)</f>
        <v>51349</v>
      </c>
      <c r="C171" s="80">
        <f>INDEX(入力設定!$C$15:$C$24,INT((A171-1)/60)+1)</f>
        <v>0.03</v>
      </c>
      <c r="D171" s="70">
        <f t="shared" ca="1" si="61"/>
        <v>20778858.373142421</v>
      </c>
      <c r="E171" s="70">
        <f t="shared" ca="1" si="62"/>
        <v>215</v>
      </c>
      <c r="F171" s="70">
        <f ca="1">IF(D171+Z171&lt;0.000001,0,IF(D171&lt;0.000001,F170,IF(OR(AE171=1,AND(K170&gt;0,入力設定!$B$8="返済額軽減型",入力設定!$B$11="翌月")),IF(C171=0,D171/MAX(1,E171),D171*(C171/12)/(1-(1+C171/12)^(-MAX(1,E171)))),F170)))</f>
        <v>125052.99264303216</v>
      </c>
      <c r="G171" s="70">
        <f t="shared" ca="1" si="44"/>
        <v>125052.99264303216</v>
      </c>
      <c r="H171" s="70">
        <f t="shared" ca="1" si="45"/>
        <v>51947.145932856052</v>
      </c>
      <c r="I171" s="70">
        <f t="shared" ca="1" si="46"/>
        <v>73105.84671017612</v>
      </c>
      <c r="J171" s="70">
        <f>SUMIFS(入力設定!$G$5:$G$24,入力設定!$F$5:$F$24,A171)</f>
        <v>0</v>
      </c>
      <c r="K171" s="70">
        <f t="shared" ca="1" si="47"/>
        <v>0</v>
      </c>
      <c r="L171" s="70">
        <f ca="1">IF(K171&gt;0,入力設定!$B$9,0)</f>
        <v>0</v>
      </c>
      <c r="M171" s="70">
        <f t="shared" ca="1" si="48"/>
        <v>20705752.526432246</v>
      </c>
      <c r="N171" s="70">
        <f ca="1">IF(M171+AA171&lt;0.000001,0,IF(AND(K171&gt;0,入力設定!$B$8="期間短縮型",AA171&lt;0.000001,F171&gt;M171*C171/12),MAX(1,MIN(E171-1,IF(C171=0,ROUNDUP(M171/F171,0),ROUNDUP(-LN(1-M171*(C171/12)/F171)/LN(1+C171/12),0)))),MAX(1,E171-1)))</f>
        <v>214</v>
      </c>
      <c r="O171" s="70">
        <f t="shared" ca="1" si="49"/>
        <v>125052.99264303216</v>
      </c>
      <c r="P171" s="70">
        <f t="shared" ca="1" si="63"/>
        <v>24228241.625255015</v>
      </c>
      <c r="Q171" s="70">
        <f ca="1">IF(OR(A171&gt;入力設定!$B$6*12,P171+AC171&lt;0.000001),0,IF(P171&lt;0.000001,Q170,IF(AE171=1,IF(C171=0,P171/MAX(1,入力設定!$B$6*12-A171+1),P171*(C171/12)/(1-(1+C171/12)^(-MAX(1,入力設定!$B$6*12-A171+1)))),Q170)))</f>
        <v>128609.0218444733</v>
      </c>
      <c r="R171" s="70">
        <f ca="1">IF(P171+AC171&lt;0.000001,0,IF(A171=入力設定!$B$6*12,P171+AB171+AC171,MIN(Q171,P171+AB171+AC171)))</f>
        <v>128609.0218444733</v>
      </c>
      <c r="S171" s="70">
        <f t="shared" ca="1" si="50"/>
        <v>60570.604063137529</v>
      </c>
      <c r="T171" s="70">
        <f t="shared" ca="1" si="51"/>
        <v>68038.417781335767</v>
      </c>
      <c r="U171" s="70">
        <f t="shared" ca="1" si="52"/>
        <v>24160203.20747368</v>
      </c>
      <c r="V171" s="70">
        <f t="shared" ca="1" si="53"/>
        <v>0</v>
      </c>
      <c r="W171" s="70">
        <f t="shared" ca="1" si="54"/>
        <v>0</v>
      </c>
      <c r="X171" s="70">
        <f t="shared" ca="1" si="55"/>
        <v>0</v>
      </c>
      <c r="Y171" s="71">
        <f t="shared" ca="1" si="56"/>
        <v>51947.145932856052</v>
      </c>
      <c r="Z171" s="71">
        <f t="shared" ca="1" si="64"/>
        <v>0</v>
      </c>
      <c r="AA171" s="71">
        <f t="shared" ca="1" si="57"/>
        <v>0</v>
      </c>
      <c r="AB171" s="71">
        <f t="shared" ca="1" si="58"/>
        <v>60570.604063137529</v>
      </c>
      <c r="AC171" s="71">
        <f t="shared" ca="1" si="65"/>
        <v>0</v>
      </c>
      <c r="AD171" s="71">
        <f t="shared" ca="1" si="59"/>
        <v>0</v>
      </c>
      <c r="AE171" s="72">
        <f t="shared" si="60"/>
        <v>0</v>
      </c>
      <c r="AF171" s="73">
        <f>IF(A171&gt;入力設定!$B$6*12,0,IF(AND(ISNUMBER(C171),C171&gt;=0,C171&lt;=1),0,1))</f>
        <v>0</v>
      </c>
    </row>
    <row r="172" spans="1:32" ht="21" customHeight="1">
      <c r="A172" s="68">
        <f>167</f>
        <v>167</v>
      </c>
      <c r="B172" s="69">
        <f>EDATE(入力設定!$B$7,A172-1)</f>
        <v>51380</v>
      </c>
      <c r="C172" s="80">
        <f>INDEX(入力設定!$C$15:$C$24,INT((A172-1)/60)+1)</f>
        <v>0.03</v>
      </c>
      <c r="D172" s="70">
        <f t="shared" ca="1" si="61"/>
        <v>20705752.526432246</v>
      </c>
      <c r="E172" s="70">
        <f t="shared" ca="1" si="62"/>
        <v>214</v>
      </c>
      <c r="F172" s="70">
        <f ca="1">IF(D172+Z172&lt;0.000001,0,IF(D172&lt;0.000001,F171,IF(OR(AE172=1,AND(K171&gt;0,入力設定!$B$8="返済額軽減型",入力設定!$B$11="翌月")),IF(C172=0,D172/MAX(1,E172),D172*(C172/12)/(1-(1+C172/12)^(-MAX(1,E172)))),F171)))</f>
        <v>125052.99264303216</v>
      </c>
      <c r="G172" s="70">
        <f t="shared" ca="1" si="44"/>
        <v>125052.99264303216</v>
      </c>
      <c r="H172" s="70">
        <f t="shared" ca="1" si="45"/>
        <v>51764.381316080609</v>
      </c>
      <c r="I172" s="70">
        <f t="shared" ca="1" si="46"/>
        <v>73288.611326951563</v>
      </c>
      <c r="J172" s="70">
        <f>SUMIFS(入力設定!$G$5:$G$24,入力設定!$F$5:$F$24,A172)</f>
        <v>0</v>
      </c>
      <c r="K172" s="70">
        <f t="shared" ca="1" si="47"/>
        <v>0</v>
      </c>
      <c r="L172" s="70">
        <f ca="1">IF(K172&gt;0,入力設定!$B$9,0)</f>
        <v>0</v>
      </c>
      <c r="M172" s="70">
        <f t="shared" ca="1" si="48"/>
        <v>20632463.915105294</v>
      </c>
      <c r="N172" s="70">
        <f ca="1">IF(M172+AA172&lt;0.000001,0,IF(AND(K172&gt;0,入力設定!$B$8="期間短縮型",AA172&lt;0.000001,F172&gt;M172*C172/12),MAX(1,MIN(E172-1,IF(C172=0,ROUNDUP(M172/F172,0),ROUNDUP(-LN(1-M172*(C172/12)/F172)/LN(1+C172/12),0)))),MAX(1,E172-1)))</f>
        <v>213</v>
      </c>
      <c r="O172" s="70">
        <f t="shared" ca="1" si="49"/>
        <v>125052.99264303216</v>
      </c>
      <c r="P172" s="70">
        <f t="shared" ca="1" si="63"/>
        <v>24160203.20747368</v>
      </c>
      <c r="Q172" s="70">
        <f ca="1">IF(OR(A172&gt;入力設定!$B$6*12,P172+AC172&lt;0.000001),0,IF(P172&lt;0.000001,Q171,IF(AE172=1,IF(C172=0,P172/MAX(1,入力設定!$B$6*12-A172+1),P172*(C172/12)/(1-(1+C172/12)^(-MAX(1,入力設定!$B$6*12-A172+1)))),Q171)))</f>
        <v>128609.0218444733</v>
      </c>
      <c r="R172" s="70">
        <f ca="1">IF(P172+AC172&lt;0.000001,0,IF(A172=入力設定!$B$6*12,P172+AB172+AC172,MIN(Q172,P172+AB172+AC172)))</f>
        <v>128609.0218444733</v>
      </c>
      <c r="S172" s="70">
        <f t="shared" ca="1" si="50"/>
        <v>60400.508018684195</v>
      </c>
      <c r="T172" s="70">
        <f t="shared" ca="1" si="51"/>
        <v>68208.513825789109</v>
      </c>
      <c r="U172" s="70">
        <f t="shared" ca="1" si="52"/>
        <v>24091994.693647891</v>
      </c>
      <c r="V172" s="70">
        <f t="shared" ca="1" si="53"/>
        <v>0</v>
      </c>
      <c r="W172" s="70">
        <f t="shared" ca="1" si="54"/>
        <v>0</v>
      </c>
      <c r="X172" s="70">
        <f t="shared" ca="1" si="55"/>
        <v>0</v>
      </c>
      <c r="Y172" s="71">
        <f t="shared" ca="1" si="56"/>
        <v>51764.381316080609</v>
      </c>
      <c r="Z172" s="71">
        <f t="shared" ca="1" si="64"/>
        <v>0</v>
      </c>
      <c r="AA172" s="71">
        <f t="shared" ca="1" si="57"/>
        <v>0</v>
      </c>
      <c r="AB172" s="71">
        <f t="shared" ca="1" si="58"/>
        <v>60400.508018684195</v>
      </c>
      <c r="AC172" s="71">
        <f t="shared" ca="1" si="65"/>
        <v>0</v>
      </c>
      <c r="AD172" s="71">
        <f t="shared" ca="1" si="59"/>
        <v>0</v>
      </c>
      <c r="AE172" s="72">
        <f t="shared" si="60"/>
        <v>0</v>
      </c>
      <c r="AF172" s="73">
        <f>IF(A172&gt;入力設定!$B$6*12,0,IF(AND(ISNUMBER(C172),C172&gt;=0,C172&lt;=1),0,1))</f>
        <v>0</v>
      </c>
    </row>
    <row r="173" spans="1:32" ht="21" customHeight="1">
      <c r="A173" s="68">
        <f>168</f>
        <v>168</v>
      </c>
      <c r="B173" s="69">
        <f>EDATE(入力設定!$B$7,A173-1)</f>
        <v>51410</v>
      </c>
      <c r="C173" s="80">
        <f>INDEX(入力設定!$C$15:$C$24,INT((A173-1)/60)+1)</f>
        <v>0.03</v>
      </c>
      <c r="D173" s="70">
        <f t="shared" ca="1" si="61"/>
        <v>20632463.915105294</v>
      </c>
      <c r="E173" s="70">
        <f t="shared" ca="1" si="62"/>
        <v>213</v>
      </c>
      <c r="F173" s="70">
        <f ca="1">IF(D173+Z173&lt;0.000001,0,IF(D173&lt;0.000001,F172,IF(OR(AE173=1,AND(K172&gt;0,入力設定!$B$8="返済額軽減型",入力設定!$B$11="翌月")),IF(C173=0,D173/MAX(1,E173),D173*(C173/12)/(1-(1+C173/12)^(-MAX(1,E173)))),F172)))</f>
        <v>125052.99264303216</v>
      </c>
      <c r="G173" s="70">
        <f t="shared" ca="1" si="44"/>
        <v>125052.99264303216</v>
      </c>
      <c r="H173" s="70">
        <f t="shared" ca="1" si="45"/>
        <v>51581.15978776323</v>
      </c>
      <c r="I173" s="70">
        <f t="shared" ca="1" si="46"/>
        <v>73471.832855268935</v>
      </c>
      <c r="J173" s="70">
        <f>SUMIFS(入力設定!$G$5:$G$24,入力設定!$F$5:$F$24,A173)</f>
        <v>0</v>
      </c>
      <c r="K173" s="70">
        <f t="shared" ca="1" si="47"/>
        <v>0</v>
      </c>
      <c r="L173" s="70">
        <f ca="1">IF(K173&gt;0,入力設定!$B$9,0)</f>
        <v>0</v>
      </c>
      <c r="M173" s="70">
        <f t="shared" ca="1" si="48"/>
        <v>20558992.082250025</v>
      </c>
      <c r="N173" s="70">
        <f ca="1">IF(M173+AA173&lt;0.000001,0,IF(AND(K173&gt;0,入力設定!$B$8="期間短縮型",AA173&lt;0.000001,F173&gt;M173*C173/12),MAX(1,MIN(E173-1,IF(C173=0,ROUNDUP(M173/F173,0),ROUNDUP(-LN(1-M173*(C173/12)/F173)/LN(1+C173/12),0)))),MAX(1,E173-1)))</f>
        <v>212</v>
      </c>
      <c r="O173" s="70">
        <f t="shared" ca="1" si="49"/>
        <v>125052.99264303216</v>
      </c>
      <c r="P173" s="70">
        <f t="shared" ca="1" si="63"/>
        <v>24091994.693647891</v>
      </c>
      <c r="Q173" s="70">
        <f ca="1">IF(OR(A173&gt;入力設定!$B$6*12,P173+AC173&lt;0.000001),0,IF(P173&lt;0.000001,Q172,IF(AE173=1,IF(C173=0,P173/MAX(1,入力設定!$B$6*12-A173+1),P173*(C173/12)/(1-(1+C173/12)^(-MAX(1,入力設定!$B$6*12-A173+1)))),Q172)))</f>
        <v>128609.0218444733</v>
      </c>
      <c r="R173" s="70">
        <f ca="1">IF(P173+AC173&lt;0.000001,0,IF(A173=入力設定!$B$6*12,P173+AB173+AC173,MIN(Q173,P173+AB173+AC173)))</f>
        <v>128609.0218444733</v>
      </c>
      <c r="S173" s="70">
        <f t="shared" ca="1" si="50"/>
        <v>60229.986734119731</v>
      </c>
      <c r="T173" s="70">
        <f t="shared" ca="1" si="51"/>
        <v>68379.03511035358</v>
      </c>
      <c r="U173" s="70">
        <f t="shared" ca="1" si="52"/>
        <v>24023615.658537537</v>
      </c>
      <c r="V173" s="70">
        <f t="shared" ca="1" si="53"/>
        <v>0</v>
      </c>
      <c r="W173" s="70">
        <f t="shared" ca="1" si="54"/>
        <v>0</v>
      </c>
      <c r="X173" s="70">
        <f t="shared" ca="1" si="55"/>
        <v>0</v>
      </c>
      <c r="Y173" s="71">
        <f t="shared" ca="1" si="56"/>
        <v>51581.15978776323</v>
      </c>
      <c r="Z173" s="71">
        <f t="shared" ca="1" si="64"/>
        <v>0</v>
      </c>
      <c r="AA173" s="71">
        <f t="shared" ca="1" si="57"/>
        <v>0</v>
      </c>
      <c r="AB173" s="71">
        <f t="shared" ca="1" si="58"/>
        <v>60229.986734119731</v>
      </c>
      <c r="AC173" s="71">
        <f t="shared" ca="1" si="65"/>
        <v>0</v>
      </c>
      <c r="AD173" s="71">
        <f t="shared" ca="1" si="59"/>
        <v>0</v>
      </c>
      <c r="AE173" s="72">
        <f t="shared" si="60"/>
        <v>0</v>
      </c>
      <c r="AF173" s="73">
        <f>IF(A173&gt;入力設定!$B$6*12,0,IF(AND(ISNUMBER(C173),C173&gt;=0,C173&lt;=1),0,1))</f>
        <v>0</v>
      </c>
    </row>
    <row r="174" spans="1:32" ht="21" customHeight="1">
      <c r="A174" s="68">
        <f>169</f>
        <v>169</v>
      </c>
      <c r="B174" s="69">
        <f>EDATE(入力設定!$B$7,A174-1)</f>
        <v>51441</v>
      </c>
      <c r="C174" s="80">
        <f>INDEX(入力設定!$C$15:$C$24,INT((A174-1)/60)+1)</f>
        <v>0.03</v>
      </c>
      <c r="D174" s="70">
        <f t="shared" ca="1" si="61"/>
        <v>20558992.082250025</v>
      </c>
      <c r="E174" s="70">
        <f t="shared" ca="1" si="62"/>
        <v>212</v>
      </c>
      <c r="F174" s="70">
        <f ca="1">IF(D174+Z174&lt;0.000001,0,IF(D174&lt;0.000001,F173,IF(OR(AE174=1,AND(K173&gt;0,入力設定!$B$8="返済額軽減型",入力設定!$B$11="翌月")),IF(C174=0,D174/MAX(1,E174),D174*(C174/12)/(1-(1+C174/12)^(-MAX(1,E174)))),F173)))</f>
        <v>125052.99264303216</v>
      </c>
      <c r="G174" s="70">
        <f t="shared" ca="1" si="44"/>
        <v>125052.99264303216</v>
      </c>
      <c r="H174" s="70">
        <f t="shared" ca="1" si="45"/>
        <v>51397.480205625063</v>
      </c>
      <c r="I174" s="70">
        <f t="shared" ca="1" si="46"/>
        <v>73655.512437407102</v>
      </c>
      <c r="J174" s="70">
        <f>SUMIFS(入力設定!$G$5:$G$24,入力設定!$F$5:$F$24,A174)</f>
        <v>0</v>
      </c>
      <c r="K174" s="70">
        <f t="shared" ca="1" si="47"/>
        <v>0</v>
      </c>
      <c r="L174" s="70">
        <f ca="1">IF(K174&gt;0,入力設定!$B$9,0)</f>
        <v>0</v>
      </c>
      <c r="M174" s="70">
        <f t="shared" ca="1" si="48"/>
        <v>20485336.569812618</v>
      </c>
      <c r="N174" s="70">
        <f ca="1">IF(M174+AA174&lt;0.000001,0,IF(AND(K174&gt;0,入力設定!$B$8="期間短縮型",AA174&lt;0.000001,F174&gt;M174*C174/12),MAX(1,MIN(E174-1,IF(C174=0,ROUNDUP(M174/F174,0),ROUNDUP(-LN(1-M174*(C174/12)/F174)/LN(1+C174/12),0)))),MAX(1,E174-1)))</f>
        <v>211</v>
      </c>
      <c r="O174" s="70">
        <f t="shared" ca="1" si="49"/>
        <v>125052.99264303216</v>
      </c>
      <c r="P174" s="70">
        <f t="shared" ca="1" si="63"/>
        <v>24023615.658537537</v>
      </c>
      <c r="Q174" s="70">
        <f ca="1">IF(OR(A174&gt;入力設定!$B$6*12,P174+AC174&lt;0.000001),0,IF(P174&lt;0.000001,Q173,IF(AE174=1,IF(C174=0,P174/MAX(1,入力設定!$B$6*12-A174+1),P174*(C174/12)/(1-(1+C174/12)^(-MAX(1,入力設定!$B$6*12-A174+1)))),Q173)))</f>
        <v>128609.0218444733</v>
      </c>
      <c r="R174" s="70">
        <f ca="1">IF(P174+AC174&lt;0.000001,0,IF(A174=入力設定!$B$6*12,P174+AB174+AC174,MIN(Q174,P174+AB174+AC174)))</f>
        <v>128609.0218444733</v>
      </c>
      <c r="S174" s="70">
        <f t="shared" ca="1" si="50"/>
        <v>60059.039146343835</v>
      </c>
      <c r="T174" s="70">
        <f t="shared" ca="1" si="51"/>
        <v>68549.982698129461</v>
      </c>
      <c r="U174" s="70">
        <f t="shared" ca="1" si="52"/>
        <v>23955065.675839409</v>
      </c>
      <c r="V174" s="70">
        <f t="shared" ca="1" si="53"/>
        <v>0</v>
      </c>
      <c r="W174" s="70">
        <f t="shared" ca="1" si="54"/>
        <v>0</v>
      </c>
      <c r="X174" s="70">
        <f t="shared" ca="1" si="55"/>
        <v>0</v>
      </c>
      <c r="Y174" s="71">
        <f t="shared" ca="1" si="56"/>
        <v>51397.480205625063</v>
      </c>
      <c r="Z174" s="71">
        <f t="shared" ca="1" si="64"/>
        <v>0</v>
      </c>
      <c r="AA174" s="71">
        <f t="shared" ca="1" si="57"/>
        <v>0</v>
      </c>
      <c r="AB174" s="71">
        <f t="shared" ca="1" si="58"/>
        <v>60059.039146343835</v>
      </c>
      <c r="AC174" s="71">
        <f t="shared" ca="1" si="65"/>
        <v>0</v>
      </c>
      <c r="AD174" s="71">
        <f t="shared" ca="1" si="59"/>
        <v>0</v>
      </c>
      <c r="AE174" s="72">
        <f t="shared" si="60"/>
        <v>0</v>
      </c>
      <c r="AF174" s="73">
        <f>IF(A174&gt;入力設定!$B$6*12,0,IF(AND(ISNUMBER(C174),C174&gt;=0,C174&lt;=1),0,1))</f>
        <v>0</v>
      </c>
    </row>
    <row r="175" spans="1:32" ht="21" customHeight="1">
      <c r="A175" s="68">
        <f>170</f>
        <v>170</v>
      </c>
      <c r="B175" s="69">
        <f>EDATE(入力設定!$B$7,A175-1)</f>
        <v>51471</v>
      </c>
      <c r="C175" s="80">
        <f>INDEX(入力設定!$C$15:$C$24,INT((A175-1)/60)+1)</f>
        <v>0.03</v>
      </c>
      <c r="D175" s="70">
        <f t="shared" ca="1" si="61"/>
        <v>20485336.569812618</v>
      </c>
      <c r="E175" s="70">
        <f t="shared" ca="1" si="62"/>
        <v>211</v>
      </c>
      <c r="F175" s="70">
        <f ca="1">IF(D175+Z175&lt;0.000001,0,IF(D175&lt;0.000001,F174,IF(OR(AE175=1,AND(K174&gt;0,入力設定!$B$8="返済額軽減型",入力設定!$B$11="翌月")),IF(C175=0,D175/MAX(1,E175),D175*(C175/12)/(1-(1+C175/12)^(-MAX(1,E175)))),F174)))</f>
        <v>125052.99264303216</v>
      </c>
      <c r="G175" s="70">
        <f t="shared" ca="1" si="44"/>
        <v>125052.99264303216</v>
      </c>
      <c r="H175" s="70">
        <f t="shared" ca="1" si="45"/>
        <v>51213.341424531543</v>
      </c>
      <c r="I175" s="70">
        <f t="shared" ca="1" si="46"/>
        <v>73839.651218500629</v>
      </c>
      <c r="J175" s="70">
        <f>SUMIFS(入力設定!$G$5:$G$24,入力設定!$F$5:$F$24,A175)</f>
        <v>0</v>
      </c>
      <c r="K175" s="70">
        <f t="shared" ca="1" si="47"/>
        <v>0</v>
      </c>
      <c r="L175" s="70">
        <f ca="1">IF(K175&gt;0,入力設定!$B$9,0)</f>
        <v>0</v>
      </c>
      <c r="M175" s="70">
        <f t="shared" ca="1" si="48"/>
        <v>20411496.918594118</v>
      </c>
      <c r="N175" s="70">
        <f ca="1">IF(M175+AA175&lt;0.000001,0,IF(AND(K175&gt;0,入力設定!$B$8="期間短縮型",AA175&lt;0.000001,F175&gt;M175*C175/12),MAX(1,MIN(E175-1,IF(C175=0,ROUNDUP(M175/F175,0),ROUNDUP(-LN(1-M175*(C175/12)/F175)/LN(1+C175/12),0)))),MAX(1,E175-1)))</f>
        <v>210</v>
      </c>
      <c r="O175" s="70">
        <f t="shared" ca="1" si="49"/>
        <v>125052.99264303216</v>
      </c>
      <c r="P175" s="70">
        <f t="shared" ca="1" si="63"/>
        <v>23955065.675839409</v>
      </c>
      <c r="Q175" s="70">
        <f ca="1">IF(OR(A175&gt;入力設定!$B$6*12,P175+AC175&lt;0.000001),0,IF(P175&lt;0.000001,Q174,IF(AE175=1,IF(C175=0,P175/MAX(1,入力設定!$B$6*12-A175+1),P175*(C175/12)/(1-(1+C175/12)^(-MAX(1,入力設定!$B$6*12-A175+1)))),Q174)))</f>
        <v>128609.0218444733</v>
      </c>
      <c r="R175" s="70">
        <f ca="1">IF(P175+AC175&lt;0.000001,0,IF(A175=入力設定!$B$6*12,P175+AB175+AC175,MIN(Q175,P175+AB175+AC175)))</f>
        <v>128609.0218444733</v>
      </c>
      <c r="S175" s="70">
        <f t="shared" ca="1" si="50"/>
        <v>59887.664189598523</v>
      </c>
      <c r="T175" s="70">
        <f t="shared" ca="1" si="51"/>
        <v>68721.357654874781</v>
      </c>
      <c r="U175" s="70">
        <f t="shared" ca="1" si="52"/>
        <v>23886344.318184536</v>
      </c>
      <c r="V175" s="70">
        <f t="shared" ca="1" si="53"/>
        <v>0</v>
      </c>
      <c r="W175" s="70">
        <f t="shared" ca="1" si="54"/>
        <v>0</v>
      </c>
      <c r="X175" s="70">
        <f t="shared" ca="1" si="55"/>
        <v>0</v>
      </c>
      <c r="Y175" s="71">
        <f t="shared" ca="1" si="56"/>
        <v>51213.341424531543</v>
      </c>
      <c r="Z175" s="71">
        <f t="shared" ca="1" si="64"/>
        <v>0</v>
      </c>
      <c r="AA175" s="71">
        <f t="shared" ca="1" si="57"/>
        <v>0</v>
      </c>
      <c r="AB175" s="71">
        <f t="shared" ca="1" si="58"/>
        <v>59887.664189598523</v>
      </c>
      <c r="AC175" s="71">
        <f t="shared" ca="1" si="65"/>
        <v>0</v>
      </c>
      <c r="AD175" s="71">
        <f t="shared" ca="1" si="59"/>
        <v>0</v>
      </c>
      <c r="AE175" s="72">
        <f t="shared" si="60"/>
        <v>0</v>
      </c>
      <c r="AF175" s="73">
        <f>IF(A175&gt;入力設定!$B$6*12,0,IF(AND(ISNUMBER(C175),C175&gt;=0,C175&lt;=1),0,1))</f>
        <v>0</v>
      </c>
    </row>
    <row r="176" spans="1:32" ht="21" customHeight="1">
      <c r="A176" s="68">
        <f>171</f>
        <v>171</v>
      </c>
      <c r="B176" s="69">
        <f>EDATE(入力設定!$B$7,A176-1)</f>
        <v>51502</v>
      </c>
      <c r="C176" s="80">
        <f>INDEX(入力設定!$C$15:$C$24,INT((A176-1)/60)+1)</f>
        <v>0.03</v>
      </c>
      <c r="D176" s="70">
        <f t="shared" ca="1" si="61"/>
        <v>20411496.918594118</v>
      </c>
      <c r="E176" s="70">
        <f t="shared" ca="1" si="62"/>
        <v>210</v>
      </c>
      <c r="F176" s="70">
        <f ca="1">IF(D176+Z176&lt;0.000001,0,IF(D176&lt;0.000001,F175,IF(OR(AE176=1,AND(K175&gt;0,入力設定!$B$8="返済額軽減型",入力設定!$B$11="翌月")),IF(C176=0,D176/MAX(1,E176),D176*(C176/12)/(1-(1+C176/12)^(-MAX(1,E176)))),F175)))</f>
        <v>125052.99264303216</v>
      </c>
      <c r="G176" s="70">
        <f t="shared" ca="1" si="44"/>
        <v>125052.99264303216</v>
      </c>
      <c r="H176" s="70">
        <f t="shared" ca="1" si="45"/>
        <v>51028.742296485296</v>
      </c>
      <c r="I176" s="70">
        <f t="shared" ca="1" si="46"/>
        <v>74024.250346546876</v>
      </c>
      <c r="J176" s="70">
        <f>SUMIFS(入力設定!$G$5:$G$24,入力設定!$F$5:$F$24,A176)</f>
        <v>0</v>
      </c>
      <c r="K176" s="70">
        <f t="shared" ca="1" si="47"/>
        <v>0</v>
      </c>
      <c r="L176" s="70">
        <f ca="1">IF(K176&gt;0,入力設定!$B$9,0)</f>
        <v>0</v>
      </c>
      <c r="M176" s="70">
        <f t="shared" ca="1" si="48"/>
        <v>20337472.668247573</v>
      </c>
      <c r="N176" s="70">
        <f ca="1">IF(M176+AA176&lt;0.000001,0,IF(AND(K176&gt;0,入力設定!$B$8="期間短縮型",AA176&lt;0.000001,F176&gt;M176*C176/12),MAX(1,MIN(E176-1,IF(C176=0,ROUNDUP(M176/F176,0),ROUNDUP(-LN(1-M176*(C176/12)/F176)/LN(1+C176/12),0)))),MAX(1,E176-1)))</f>
        <v>209</v>
      </c>
      <c r="O176" s="70">
        <f t="shared" ca="1" si="49"/>
        <v>125052.99264303216</v>
      </c>
      <c r="P176" s="70">
        <f t="shared" ca="1" si="63"/>
        <v>23886344.318184536</v>
      </c>
      <c r="Q176" s="70">
        <f ca="1">IF(OR(A176&gt;入力設定!$B$6*12,P176+AC176&lt;0.000001),0,IF(P176&lt;0.000001,Q175,IF(AE176=1,IF(C176=0,P176/MAX(1,入力設定!$B$6*12-A176+1),P176*(C176/12)/(1-(1+C176/12)^(-MAX(1,入力設定!$B$6*12-A176+1)))),Q175)))</f>
        <v>128609.0218444733</v>
      </c>
      <c r="R176" s="70">
        <f ca="1">IF(P176+AC176&lt;0.000001,0,IF(A176=入力設定!$B$6*12,P176+AB176+AC176,MIN(Q176,P176+AB176+AC176)))</f>
        <v>128609.0218444733</v>
      </c>
      <c r="S176" s="70">
        <f t="shared" ca="1" si="50"/>
        <v>59715.86079546134</v>
      </c>
      <c r="T176" s="70">
        <f t="shared" ca="1" si="51"/>
        <v>68893.161049011964</v>
      </c>
      <c r="U176" s="70">
        <f t="shared" ca="1" si="52"/>
        <v>23817451.157135524</v>
      </c>
      <c r="V176" s="70">
        <f t="shared" ca="1" si="53"/>
        <v>0</v>
      </c>
      <c r="W176" s="70">
        <f t="shared" ca="1" si="54"/>
        <v>0</v>
      </c>
      <c r="X176" s="70">
        <f t="shared" ca="1" si="55"/>
        <v>0</v>
      </c>
      <c r="Y176" s="71">
        <f t="shared" ca="1" si="56"/>
        <v>51028.742296485296</v>
      </c>
      <c r="Z176" s="71">
        <f t="shared" ca="1" si="64"/>
        <v>0</v>
      </c>
      <c r="AA176" s="71">
        <f t="shared" ca="1" si="57"/>
        <v>0</v>
      </c>
      <c r="AB176" s="71">
        <f t="shared" ca="1" si="58"/>
        <v>59715.86079546134</v>
      </c>
      <c r="AC176" s="71">
        <f t="shared" ca="1" si="65"/>
        <v>0</v>
      </c>
      <c r="AD176" s="71">
        <f t="shared" ca="1" si="59"/>
        <v>0</v>
      </c>
      <c r="AE176" s="72">
        <f t="shared" si="60"/>
        <v>0</v>
      </c>
      <c r="AF176" s="73">
        <f>IF(A176&gt;入力設定!$B$6*12,0,IF(AND(ISNUMBER(C176),C176&gt;=0,C176&lt;=1),0,1))</f>
        <v>0</v>
      </c>
    </row>
    <row r="177" spans="1:32" ht="21" customHeight="1">
      <c r="A177" s="68">
        <f>172</f>
        <v>172</v>
      </c>
      <c r="B177" s="69">
        <f>EDATE(入力設定!$B$7,A177-1)</f>
        <v>51533</v>
      </c>
      <c r="C177" s="80">
        <f>INDEX(入力設定!$C$15:$C$24,INT((A177-1)/60)+1)</f>
        <v>0.03</v>
      </c>
      <c r="D177" s="70">
        <f t="shared" ca="1" si="61"/>
        <v>20337472.668247573</v>
      </c>
      <c r="E177" s="70">
        <f t="shared" ca="1" si="62"/>
        <v>209</v>
      </c>
      <c r="F177" s="70">
        <f ca="1">IF(D177+Z177&lt;0.000001,0,IF(D177&lt;0.000001,F176,IF(OR(AE177=1,AND(K176&gt;0,入力設定!$B$8="返済額軽減型",入力設定!$B$11="翌月")),IF(C177=0,D177/MAX(1,E177),D177*(C177/12)/(1-(1+C177/12)^(-MAX(1,E177)))),F176)))</f>
        <v>125052.99264303216</v>
      </c>
      <c r="G177" s="70">
        <f t="shared" ca="1" si="44"/>
        <v>125052.99264303216</v>
      </c>
      <c r="H177" s="70">
        <f t="shared" ca="1" si="45"/>
        <v>50843.681670618935</v>
      </c>
      <c r="I177" s="70">
        <f t="shared" ca="1" si="46"/>
        <v>74209.310972413223</v>
      </c>
      <c r="J177" s="70">
        <f>SUMIFS(入力設定!$G$5:$G$24,入力設定!$F$5:$F$24,A177)</f>
        <v>0</v>
      </c>
      <c r="K177" s="70">
        <f t="shared" ca="1" si="47"/>
        <v>0</v>
      </c>
      <c r="L177" s="70">
        <f ca="1">IF(K177&gt;0,入力設定!$B$9,0)</f>
        <v>0</v>
      </c>
      <c r="M177" s="70">
        <f t="shared" ca="1" si="48"/>
        <v>20263263.357275158</v>
      </c>
      <c r="N177" s="70">
        <f ca="1">IF(M177+AA177&lt;0.000001,0,IF(AND(K177&gt;0,入力設定!$B$8="期間短縮型",AA177&lt;0.000001,F177&gt;M177*C177/12),MAX(1,MIN(E177-1,IF(C177=0,ROUNDUP(M177/F177,0),ROUNDUP(-LN(1-M177*(C177/12)/F177)/LN(1+C177/12),0)))),MAX(1,E177-1)))</f>
        <v>208</v>
      </c>
      <c r="O177" s="70">
        <f t="shared" ca="1" si="49"/>
        <v>125052.99264303216</v>
      </c>
      <c r="P177" s="70">
        <f t="shared" ca="1" si="63"/>
        <v>23817451.157135524</v>
      </c>
      <c r="Q177" s="70">
        <f ca="1">IF(OR(A177&gt;入力設定!$B$6*12,P177+AC177&lt;0.000001),0,IF(P177&lt;0.000001,Q176,IF(AE177=1,IF(C177=0,P177/MAX(1,入力設定!$B$6*12-A177+1),P177*(C177/12)/(1-(1+C177/12)^(-MAX(1,入力設定!$B$6*12-A177+1)))),Q176)))</f>
        <v>128609.0218444733</v>
      </c>
      <c r="R177" s="70">
        <f ca="1">IF(P177+AC177&lt;0.000001,0,IF(A177=入力設定!$B$6*12,P177+AB177+AC177,MIN(Q177,P177+AB177+AC177)))</f>
        <v>128609.0218444733</v>
      </c>
      <c r="S177" s="70">
        <f t="shared" ca="1" si="50"/>
        <v>59543.627892838813</v>
      </c>
      <c r="T177" s="70">
        <f t="shared" ca="1" si="51"/>
        <v>69065.393951634498</v>
      </c>
      <c r="U177" s="70">
        <f t="shared" ca="1" si="52"/>
        <v>23748385.763183888</v>
      </c>
      <c r="V177" s="70">
        <f t="shared" ca="1" si="53"/>
        <v>0</v>
      </c>
      <c r="W177" s="70">
        <f t="shared" ca="1" si="54"/>
        <v>0</v>
      </c>
      <c r="X177" s="70">
        <f t="shared" ca="1" si="55"/>
        <v>0</v>
      </c>
      <c r="Y177" s="71">
        <f t="shared" ca="1" si="56"/>
        <v>50843.681670618935</v>
      </c>
      <c r="Z177" s="71">
        <f t="shared" ca="1" si="64"/>
        <v>0</v>
      </c>
      <c r="AA177" s="71">
        <f t="shared" ca="1" si="57"/>
        <v>0</v>
      </c>
      <c r="AB177" s="71">
        <f t="shared" ca="1" si="58"/>
        <v>59543.627892838813</v>
      </c>
      <c r="AC177" s="71">
        <f t="shared" ca="1" si="65"/>
        <v>0</v>
      </c>
      <c r="AD177" s="71">
        <f t="shared" ca="1" si="59"/>
        <v>0</v>
      </c>
      <c r="AE177" s="72">
        <f t="shared" si="60"/>
        <v>0</v>
      </c>
      <c r="AF177" s="73">
        <f>IF(A177&gt;入力設定!$B$6*12,0,IF(AND(ISNUMBER(C177),C177&gt;=0,C177&lt;=1),0,1))</f>
        <v>0</v>
      </c>
    </row>
    <row r="178" spans="1:32" ht="21" customHeight="1">
      <c r="A178" s="68">
        <f>173</f>
        <v>173</v>
      </c>
      <c r="B178" s="69">
        <f>EDATE(入力設定!$B$7,A178-1)</f>
        <v>51561</v>
      </c>
      <c r="C178" s="80">
        <f>INDEX(入力設定!$C$15:$C$24,INT((A178-1)/60)+1)</f>
        <v>0.03</v>
      </c>
      <c r="D178" s="70">
        <f t="shared" ca="1" si="61"/>
        <v>20263263.357275158</v>
      </c>
      <c r="E178" s="70">
        <f t="shared" ca="1" si="62"/>
        <v>208</v>
      </c>
      <c r="F178" s="70">
        <f ca="1">IF(D178+Z178&lt;0.000001,0,IF(D178&lt;0.000001,F177,IF(OR(AE178=1,AND(K177&gt;0,入力設定!$B$8="返済額軽減型",入力設定!$B$11="翌月")),IF(C178=0,D178/MAX(1,E178),D178*(C178/12)/(1-(1+C178/12)^(-MAX(1,E178)))),F177)))</f>
        <v>125052.99264303216</v>
      </c>
      <c r="G178" s="70">
        <f t="shared" ca="1" si="44"/>
        <v>125052.99264303216</v>
      </c>
      <c r="H178" s="70">
        <f t="shared" ca="1" si="45"/>
        <v>50658.158393187892</v>
      </c>
      <c r="I178" s="70">
        <f t="shared" ca="1" si="46"/>
        <v>74394.83424984428</v>
      </c>
      <c r="J178" s="70">
        <f>SUMIFS(入力設定!$G$5:$G$24,入力設定!$F$5:$F$24,A178)</f>
        <v>0</v>
      </c>
      <c r="K178" s="70">
        <f t="shared" ca="1" si="47"/>
        <v>0</v>
      </c>
      <c r="L178" s="70">
        <f ca="1">IF(K178&gt;0,入力設定!$B$9,0)</f>
        <v>0</v>
      </c>
      <c r="M178" s="70">
        <f t="shared" ca="1" si="48"/>
        <v>20188868.523025315</v>
      </c>
      <c r="N178" s="70">
        <f ca="1">IF(M178+AA178&lt;0.000001,0,IF(AND(K178&gt;0,入力設定!$B$8="期間短縮型",AA178&lt;0.000001,F178&gt;M178*C178/12),MAX(1,MIN(E178-1,IF(C178=0,ROUNDUP(M178/F178,0),ROUNDUP(-LN(1-M178*(C178/12)/F178)/LN(1+C178/12),0)))),MAX(1,E178-1)))</f>
        <v>207</v>
      </c>
      <c r="O178" s="70">
        <f t="shared" ca="1" si="49"/>
        <v>125052.99264303216</v>
      </c>
      <c r="P178" s="70">
        <f t="shared" ca="1" si="63"/>
        <v>23748385.763183888</v>
      </c>
      <c r="Q178" s="70">
        <f ca="1">IF(OR(A178&gt;入力設定!$B$6*12,P178+AC178&lt;0.000001),0,IF(P178&lt;0.000001,Q177,IF(AE178=1,IF(C178=0,P178/MAX(1,入力設定!$B$6*12-A178+1),P178*(C178/12)/(1-(1+C178/12)^(-MAX(1,入力設定!$B$6*12-A178+1)))),Q177)))</f>
        <v>128609.0218444733</v>
      </c>
      <c r="R178" s="70">
        <f ca="1">IF(P178+AC178&lt;0.000001,0,IF(A178=入力設定!$B$6*12,P178+AB178+AC178,MIN(Q178,P178+AB178+AC178)))</f>
        <v>128609.0218444733</v>
      </c>
      <c r="S178" s="70">
        <f t="shared" ca="1" si="50"/>
        <v>59370.96440795972</v>
      </c>
      <c r="T178" s="70">
        <f t="shared" ca="1" si="51"/>
        <v>69238.057436513584</v>
      </c>
      <c r="U178" s="70">
        <f t="shared" ca="1" si="52"/>
        <v>23679147.705747373</v>
      </c>
      <c r="V178" s="70">
        <f t="shared" ca="1" si="53"/>
        <v>0</v>
      </c>
      <c r="W178" s="70">
        <f t="shared" ca="1" si="54"/>
        <v>0</v>
      </c>
      <c r="X178" s="70">
        <f t="shared" ca="1" si="55"/>
        <v>0</v>
      </c>
      <c r="Y178" s="71">
        <f t="shared" ca="1" si="56"/>
        <v>50658.158393187892</v>
      </c>
      <c r="Z178" s="71">
        <f t="shared" ca="1" si="64"/>
        <v>0</v>
      </c>
      <c r="AA178" s="71">
        <f t="shared" ca="1" si="57"/>
        <v>0</v>
      </c>
      <c r="AB178" s="71">
        <f t="shared" ca="1" si="58"/>
        <v>59370.96440795972</v>
      </c>
      <c r="AC178" s="71">
        <f t="shared" ca="1" si="65"/>
        <v>0</v>
      </c>
      <c r="AD178" s="71">
        <f t="shared" ca="1" si="59"/>
        <v>0</v>
      </c>
      <c r="AE178" s="72">
        <f t="shared" si="60"/>
        <v>0</v>
      </c>
      <c r="AF178" s="73">
        <f>IF(A178&gt;入力設定!$B$6*12,0,IF(AND(ISNUMBER(C178),C178&gt;=0,C178&lt;=1),0,1))</f>
        <v>0</v>
      </c>
    </row>
    <row r="179" spans="1:32" ht="21" customHeight="1">
      <c r="A179" s="68">
        <f>174</f>
        <v>174</v>
      </c>
      <c r="B179" s="69">
        <f>EDATE(入力設定!$B$7,A179-1)</f>
        <v>51592</v>
      </c>
      <c r="C179" s="80">
        <f>INDEX(入力設定!$C$15:$C$24,INT((A179-1)/60)+1)</f>
        <v>0.03</v>
      </c>
      <c r="D179" s="70">
        <f t="shared" ca="1" si="61"/>
        <v>20188868.523025315</v>
      </c>
      <c r="E179" s="70">
        <f t="shared" ca="1" si="62"/>
        <v>207</v>
      </c>
      <c r="F179" s="70">
        <f ca="1">IF(D179+Z179&lt;0.000001,0,IF(D179&lt;0.000001,F178,IF(OR(AE179=1,AND(K178&gt;0,入力設定!$B$8="返済額軽減型",入力設定!$B$11="翌月")),IF(C179=0,D179/MAX(1,E179),D179*(C179/12)/(1-(1+C179/12)^(-MAX(1,E179)))),F178)))</f>
        <v>125052.99264303216</v>
      </c>
      <c r="G179" s="70">
        <f t="shared" ca="1" si="44"/>
        <v>125052.99264303216</v>
      </c>
      <c r="H179" s="70">
        <f t="shared" ca="1" si="45"/>
        <v>50472.171307563287</v>
      </c>
      <c r="I179" s="70">
        <f t="shared" ca="1" si="46"/>
        <v>74580.821335468878</v>
      </c>
      <c r="J179" s="70">
        <f>SUMIFS(入力設定!$G$5:$G$24,入力設定!$F$5:$F$24,A179)</f>
        <v>0</v>
      </c>
      <c r="K179" s="70">
        <f t="shared" ca="1" si="47"/>
        <v>0</v>
      </c>
      <c r="L179" s="70">
        <f ca="1">IF(K179&gt;0,入力設定!$B$9,0)</f>
        <v>0</v>
      </c>
      <c r="M179" s="70">
        <f t="shared" ca="1" si="48"/>
        <v>20114287.701689847</v>
      </c>
      <c r="N179" s="70">
        <f ca="1">IF(M179+AA179&lt;0.000001,0,IF(AND(K179&gt;0,入力設定!$B$8="期間短縮型",AA179&lt;0.000001,F179&gt;M179*C179/12),MAX(1,MIN(E179-1,IF(C179=0,ROUNDUP(M179/F179,0),ROUNDUP(-LN(1-M179*(C179/12)/F179)/LN(1+C179/12),0)))),MAX(1,E179-1)))</f>
        <v>206</v>
      </c>
      <c r="O179" s="70">
        <f t="shared" ca="1" si="49"/>
        <v>125052.99264303216</v>
      </c>
      <c r="P179" s="70">
        <f t="shared" ca="1" si="63"/>
        <v>23679147.705747373</v>
      </c>
      <c r="Q179" s="70">
        <f ca="1">IF(OR(A179&gt;入力設定!$B$6*12,P179+AC179&lt;0.000001),0,IF(P179&lt;0.000001,Q178,IF(AE179=1,IF(C179=0,P179/MAX(1,入力設定!$B$6*12-A179+1),P179*(C179/12)/(1-(1+C179/12)^(-MAX(1,入力設定!$B$6*12-A179+1)))),Q178)))</f>
        <v>128609.0218444733</v>
      </c>
      <c r="R179" s="70">
        <f ca="1">IF(P179+AC179&lt;0.000001,0,IF(A179=入力設定!$B$6*12,P179+AB179+AC179,MIN(Q179,P179+AB179+AC179)))</f>
        <v>128609.0218444733</v>
      </c>
      <c r="S179" s="70">
        <f t="shared" ca="1" si="50"/>
        <v>59197.869264368434</v>
      </c>
      <c r="T179" s="70">
        <f t="shared" ca="1" si="51"/>
        <v>69411.15258010487</v>
      </c>
      <c r="U179" s="70">
        <f t="shared" ca="1" si="52"/>
        <v>23609736.553167269</v>
      </c>
      <c r="V179" s="70">
        <f t="shared" ca="1" si="53"/>
        <v>0</v>
      </c>
      <c r="W179" s="70">
        <f t="shared" ca="1" si="54"/>
        <v>0</v>
      </c>
      <c r="X179" s="70">
        <f t="shared" ca="1" si="55"/>
        <v>0</v>
      </c>
      <c r="Y179" s="71">
        <f t="shared" ca="1" si="56"/>
        <v>50472.171307563287</v>
      </c>
      <c r="Z179" s="71">
        <f t="shared" ca="1" si="64"/>
        <v>0</v>
      </c>
      <c r="AA179" s="71">
        <f t="shared" ca="1" si="57"/>
        <v>0</v>
      </c>
      <c r="AB179" s="71">
        <f t="shared" ca="1" si="58"/>
        <v>59197.869264368434</v>
      </c>
      <c r="AC179" s="71">
        <f t="shared" ca="1" si="65"/>
        <v>0</v>
      </c>
      <c r="AD179" s="71">
        <f t="shared" ca="1" si="59"/>
        <v>0</v>
      </c>
      <c r="AE179" s="72">
        <f t="shared" si="60"/>
        <v>0</v>
      </c>
      <c r="AF179" s="73">
        <f>IF(A179&gt;入力設定!$B$6*12,0,IF(AND(ISNUMBER(C179),C179&gt;=0,C179&lt;=1),0,1))</f>
        <v>0</v>
      </c>
    </row>
    <row r="180" spans="1:32" ht="21" customHeight="1">
      <c r="A180" s="68">
        <f>175</f>
        <v>175</v>
      </c>
      <c r="B180" s="69">
        <f>EDATE(入力設定!$B$7,A180-1)</f>
        <v>51622</v>
      </c>
      <c r="C180" s="80">
        <f>INDEX(入力設定!$C$15:$C$24,INT((A180-1)/60)+1)</f>
        <v>0.03</v>
      </c>
      <c r="D180" s="70">
        <f t="shared" ca="1" si="61"/>
        <v>20114287.701689847</v>
      </c>
      <c r="E180" s="70">
        <f t="shared" ca="1" si="62"/>
        <v>206</v>
      </c>
      <c r="F180" s="70">
        <f ca="1">IF(D180+Z180&lt;0.000001,0,IF(D180&lt;0.000001,F179,IF(OR(AE180=1,AND(K179&gt;0,入力設定!$B$8="返済額軽減型",入力設定!$B$11="翌月")),IF(C180=0,D180/MAX(1,E180),D180*(C180/12)/(1-(1+C180/12)^(-MAX(1,E180)))),F179)))</f>
        <v>125052.99264303216</v>
      </c>
      <c r="G180" s="70">
        <f t="shared" ca="1" si="44"/>
        <v>125052.99264303216</v>
      </c>
      <c r="H180" s="70">
        <f t="shared" ca="1" si="45"/>
        <v>50285.719254224619</v>
      </c>
      <c r="I180" s="70">
        <f t="shared" ca="1" si="46"/>
        <v>74767.273388807545</v>
      </c>
      <c r="J180" s="70">
        <f>SUMIFS(入力設定!$G$5:$G$24,入力設定!$F$5:$F$24,A180)</f>
        <v>0</v>
      </c>
      <c r="K180" s="70">
        <f t="shared" ca="1" si="47"/>
        <v>0</v>
      </c>
      <c r="L180" s="70">
        <f ca="1">IF(K180&gt;0,入力設定!$B$9,0)</f>
        <v>0</v>
      </c>
      <c r="M180" s="70">
        <f t="shared" ca="1" si="48"/>
        <v>20039520.42830104</v>
      </c>
      <c r="N180" s="70">
        <f ca="1">IF(M180+AA180&lt;0.000001,0,IF(AND(K180&gt;0,入力設定!$B$8="期間短縮型",AA180&lt;0.000001,F180&gt;M180*C180/12),MAX(1,MIN(E180-1,IF(C180=0,ROUNDUP(M180/F180,0),ROUNDUP(-LN(1-M180*(C180/12)/F180)/LN(1+C180/12),0)))),MAX(1,E180-1)))</f>
        <v>205</v>
      </c>
      <c r="O180" s="70">
        <f t="shared" ca="1" si="49"/>
        <v>125052.99264303216</v>
      </c>
      <c r="P180" s="70">
        <f t="shared" ca="1" si="63"/>
        <v>23609736.553167269</v>
      </c>
      <c r="Q180" s="70">
        <f ca="1">IF(OR(A180&gt;入力設定!$B$6*12,P180+AC180&lt;0.000001),0,IF(P180&lt;0.000001,Q179,IF(AE180=1,IF(C180=0,P180/MAX(1,入力設定!$B$6*12-A180+1),P180*(C180/12)/(1-(1+C180/12)^(-MAX(1,入力設定!$B$6*12-A180+1)))),Q179)))</f>
        <v>128609.0218444733</v>
      </c>
      <c r="R180" s="70">
        <f ca="1">IF(P180+AC180&lt;0.000001,0,IF(A180=入力設定!$B$6*12,P180+AB180+AC180,MIN(Q180,P180+AB180+AC180)))</f>
        <v>128609.0218444733</v>
      </c>
      <c r="S180" s="70">
        <f t="shared" ca="1" si="50"/>
        <v>59024.341382918174</v>
      </c>
      <c r="T180" s="70">
        <f t="shared" ca="1" si="51"/>
        <v>69584.680461555137</v>
      </c>
      <c r="U180" s="70">
        <f t="shared" ca="1" si="52"/>
        <v>23540151.872705713</v>
      </c>
      <c r="V180" s="70">
        <f t="shared" ca="1" si="53"/>
        <v>0</v>
      </c>
      <c r="W180" s="70">
        <f t="shared" ca="1" si="54"/>
        <v>0</v>
      </c>
      <c r="X180" s="70">
        <f t="shared" ca="1" si="55"/>
        <v>0</v>
      </c>
      <c r="Y180" s="71">
        <f t="shared" ca="1" si="56"/>
        <v>50285.719254224619</v>
      </c>
      <c r="Z180" s="71">
        <f t="shared" ca="1" si="64"/>
        <v>0</v>
      </c>
      <c r="AA180" s="71">
        <f t="shared" ca="1" si="57"/>
        <v>0</v>
      </c>
      <c r="AB180" s="71">
        <f t="shared" ca="1" si="58"/>
        <v>59024.341382918174</v>
      </c>
      <c r="AC180" s="71">
        <f t="shared" ca="1" si="65"/>
        <v>0</v>
      </c>
      <c r="AD180" s="71">
        <f t="shared" ca="1" si="59"/>
        <v>0</v>
      </c>
      <c r="AE180" s="72">
        <f t="shared" si="60"/>
        <v>0</v>
      </c>
      <c r="AF180" s="73">
        <f>IF(A180&gt;入力設定!$B$6*12,0,IF(AND(ISNUMBER(C180),C180&gt;=0,C180&lt;=1),0,1))</f>
        <v>0</v>
      </c>
    </row>
    <row r="181" spans="1:32" ht="21" customHeight="1">
      <c r="A181" s="68">
        <f>176</f>
        <v>176</v>
      </c>
      <c r="B181" s="69">
        <f>EDATE(入力設定!$B$7,A181-1)</f>
        <v>51653</v>
      </c>
      <c r="C181" s="80">
        <f>INDEX(入力設定!$C$15:$C$24,INT((A181-1)/60)+1)</f>
        <v>0.03</v>
      </c>
      <c r="D181" s="70">
        <f t="shared" ca="1" si="61"/>
        <v>20039520.42830104</v>
      </c>
      <c r="E181" s="70">
        <f t="shared" ca="1" si="62"/>
        <v>205</v>
      </c>
      <c r="F181" s="70">
        <f ca="1">IF(D181+Z181&lt;0.000001,0,IF(D181&lt;0.000001,F180,IF(OR(AE181=1,AND(K180&gt;0,入力設定!$B$8="返済額軽減型",入力設定!$B$11="翌月")),IF(C181=0,D181/MAX(1,E181),D181*(C181/12)/(1-(1+C181/12)^(-MAX(1,E181)))),F180)))</f>
        <v>125052.99264303216</v>
      </c>
      <c r="G181" s="70">
        <f t="shared" ca="1" si="44"/>
        <v>125052.99264303216</v>
      </c>
      <c r="H181" s="70">
        <f t="shared" ca="1" si="45"/>
        <v>50098.801070752605</v>
      </c>
      <c r="I181" s="70">
        <f t="shared" ca="1" si="46"/>
        <v>74954.191572279553</v>
      </c>
      <c r="J181" s="70">
        <f>SUMIFS(入力設定!$G$5:$G$24,入力設定!$F$5:$F$24,A181)</f>
        <v>0</v>
      </c>
      <c r="K181" s="70">
        <f t="shared" ca="1" si="47"/>
        <v>0</v>
      </c>
      <c r="L181" s="70">
        <f ca="1">IF(K181&gt;0,入力設定!$B$9,0)</f>
        <v>0</v>
      </c>
      <c r="M181" s="70">
        <f t="shared" ca="1" si="48"/>
        <v>19964566.236728761</v>
      </c>
      <c r="N181" s="70">
        <f ca="1">IF(M181+AA181&lt;0.000001,0,IF(AND(K181&gt;0,入力設定!$B$8="期間短縮型",AA181&lt;0.000001,F181&gt;M181*C181/12),MAX(1,MIN(E181-1,IF(C181=0,ROUNDUP(M181/F181,0),ROUNDUP(-LN(1-M181*(C181/12)/F181)/LN(1+C181/12),0)))),MAX(1,E181-1)))</f>
        <v>204</v>
      </c>
      <c r="O181" s="70">
        <f t="shared" ca="1" si="49"/>
        <v>125052.99264303216</v>
      </c>
      <c r="P181" s="70">
        <f t="shared" ca="1" si="63"/>
        <v>23540151.872705713</v>
      </c>
      <c r="Q181" s="70">
        <f ca="1">IF(OR(A181&gt;入力設定!$B$6*12,P181+AC181&lt;0.000001),0,IF(P181&lt;0.000001,Q180,IF(AE181=1,IF(C181=0,P181/MAX(1,入力設定!$B$6*12-A181+1),P181*(C181/12)/(1-(1+C181/12)^(-MAX(1,入力設定!$B$6*12-A181+1)))),Q180)))</f>
        <v>128609.0218444733</v>
      </c>
      <c r="R181" s="70">
        <f ca="1">IF(P181+AC181&lt;0.000001,0,IF(A181=入力設定!$B$6*12,P181+AB181+AC181,MIN(Q181,P181+AB181+AC181)))</f>
        <v>128609.0218444733</v>
      </c>
      <c r="S181" s="70">
        <f t="shared" ca="1" si="50"/>
        <v>58850.37968176428</v>
      </c>
      <c r="T181" s="70">
        <f t="shared" ca="1" si="51"/>
        <v>69758.642162709031</v>
      </c>
      <c r="U181" s="70">
        <f t="shared" ca="1" si="52"/>
        <v>23470393.230543002</v>
      </c>
      <c r="V181" s="70">
        <f t="shared" ca="1" si="53"/>
        <v>0</v>
      </c>
      <c r="W181" s="70">
        <f t="shared" ca="1" si="54"/>
        <v>0</v>
      </c>
      <c r="X181" s="70">
        <f t="shared" ca="1" si="55"/>
        <v>0</v>
      </c>
      <c r="Y181" s="71">
        <f t="shared" ca="1" si="56"/>
        <v>50098.801070752605</v>
      </c>
      <c r="Z181" s="71">
        <f t="shared" ca="1" si="64"/>
        <v>0</v>
      </c>
      <c r="AA181" s="71">
        <f t="shared" ca="1" si="57"/>
        <v>0</v>
      </c>
      <c r="AB181" s="71">
        <f t="shared" ca="1" si="58"/>
        <v>58850.37968176428</v>
      </c>
      <c r="AC181" s="71">
        <f t="shared" ca="1" si="65"/>
        <v>0</v>
      </c>
      <c r="AD181" s="71">
        <f t="shared" ca="1" si="59"/>
        <v>0</v>
      </c>
      <c r="AE181" s="72">
        <f t="shared" si="60"/>
        <v>0</v>
      </c>
      <c r="AF181" s="73">
        <f>IF(A181&gt;入力設定!$B$6*12,0,IF(AND(ISNUMBER(C181),C181&gt;=0,C181&lt;=1),0,1))</f>
        <v>0</v>
      </c>
    </row>
    <row r="182" spans="1:32" ht="21" customHeight="1">
      <c r="A182" s="68">
        <f>177</f>
        <v>177</v>
      </c>
      <c r="B182" s="69">
        <f>EDATE(入力設定!$B$7,A182-1)</f>
        <v>51683</v>
      </c>
      <c r="C182" s="80">
        <f>INDEX(入力設定!$C$15:$C$24,INT((A182-1)/60)+1)</f>
        <v>0.03</v>
      </c>
      <c r="D182" s="70">
        <f t="shared" ca="1" si="61"/>
        <v>19964566.236728761</v>
      </c>
      <c r="E182" s="70">
        <f t="shared" ca="1" si="62"/>
        <v>204</v>
      </c>
      <c r="F182" s="70">
        <f ca="1">IF(D182+Z182&lt;0.000001,0,IF(D182&lt;0.000001,F181,IF(OR(AE182=1,AND(K181&gt;0,入力設定!$B$8="返済額軽減型",入力設定!$B$11="翌月")),IF(C182=0,D182/MAX(1,E182),D182*(C182/12)/(1-(1+C182/12)^(-MAX(1,E182)))),F181)))</f>
        <v>125052.99264303216</v>
      </c>
      <c r="G182" s="70">
        <f t="shared" ca="1" si="44"/>
        <v>125052.99264303216</v>
      </c>
      <c r="H182" s="70">
        <f t="shared" ca="1" si="45"/>
        <v>49911.415591821897</v>
      </c>
      <c r="I182" s="70">
        <f t="shared" ca="1" si="46"/>
        <v>75141.577051210275</v>
      </c>
      <c r="J182" s="70">
        <f>SUMIFS(入力設定!$G$5:$G$24,入力設定!$F$5:$F$24,A182)</f>
        <v>0</v>
      </c>
      <c r="K182" s="70">
        <f t="shared" ca="1" si="47"/>
        <v>0</v>
      </c>
      <c r="L182" s="70">
        <f ca="1">IF(K182&gt;0,入力設定!$B$9,0)</f>
        <v>0</v>
      </c>
      <c r="M182" s="70">
        <f t="shared" ca="1" si="48"/>
        <v>19889424.65967755</v>
      </c>
      <c r="N182" s="70">
        <f ca="1">IF(M182+AA182&lt;0.000001,0,IF(AND(K182&gt;0,入力設定!$B$8="期間短縮型",AA182&lt;0.000001,F182&gt;M182*C182/12),MAX(1,MIN(E182-1,IF(C182=0,ROUNDUP(M182/F182,0),ROUNDUP(-LN(1-M182*(C182/12)/F182)/LN(1+C182/12),0)))),MAX(1,E182-1)))</f>
        <v>203</v>
      </c>
      <c r="O182" s="70">
        <f t="shared" ca="1" si="49"/>
        <v>125052.99264303216</v>
      </c>
      <c r="P182" s="70">
        <f t="shared" ca="1" si="63"/>
        <v>23470393.230543002</v>
      </c>
      <c r="Q182" s="70">
        <f ca="1">IF(OR(A182&gt;入力設定!$B$6*12,P182+AC182&lt;0.000001),0,IF(P182&lt;0.000001,Q181,IF(AE182=1,IF(C182=0,P182/MAX(1,入力設定!$B$6*12-A182+1),P182*(C182/12)/(1-(1+C182/12)^(-MAX(1,入力設定!$B$6*12-A182+1)))),Q181)))</f>
        <v>128609.0218444733</v>
      </c>
      <c r="R182" s="70">
        <f ca="1">IF(P182+AC182&lt;0.000001,0,IF(A182=入力設定!$B$6*12,P182+AB182+AC182,MIN(Q182,P182+AB182+AC182)))</f>
        <v>128609.0218444733</v>
      </c>
      <c r="S182" s="70">
        <f t="shared" ca="1" si="50"/>
        <v>58675.983076357508</v>
      </c>
      <c r="T182" s="70">
        <f t="shared" ca="1" si="51"/>
        <v>69933.038768115803</v>
      </c>
      <c r="U182" s="70">
        <f t="shared" ca="1" si="52"/>
        <v>23400460.191774886</v>
      </c>
      <c r="V182" s="70">
        <f t="shared" ca="1" si="53"/>
        <v>0</v>
      </c>
      <c r="W182" s="70">
        <f t="shared" ca="1" si="54"/>
        <v>0</v>
      </c>
      <c r="X182" s="70">
        <f t="shared" ca="1" si="55"/>
        <v>0</v>
      </c>
      <c r="Y182" s="71">
        <f t="shared" ca="1" si="56"/>
        <v>49911.415591821897</v>
      </c>
      <c r="Z182" s="71">
        <f t="shared" ca="1" si="64"/>
        <v>0</v>
      </c>
      <c r="AA182" s="71">
        <f t="shared" ca="1" si="57"/>
        <v>0</v>
      </c>
      <c r="AB182" s="71">
        <f t="shared" ca="1" si="58"/>
        <v>58675.983076357508</v>
      </c>
      <c r="AC182" s="71">
        <f t="shared" ca="1" si="65"/>
        <v>0</v>
      </c>
      <c r="AD182" s="71">
        <f t="shared" ca="1" si="59"/>
        <v>0</v>
      </c>
      <c r="AE182" s="72">
        <f t="shared" si="60"/>
        <v>0</v>
      </c>
      <c r="AF182" s="73">
        <f>IF(A182&gt;入力設定!$B$6*12,0,IF(AND(ISNUMBER(C182),C182&gt;=0,C182&lt;=1),0,1))</f>
        <v>0</v>
      </c>
    </row>
    <row r="183" spans="1:32" ht="21" customHeight="1">
      <c r="A183" s="68">
        <f>178</f>
        <v>178</v>
      </c>
      <c r="B183" s="69">
        <f>EDATE(入力設定!$B$7,A183-1)</f>
        <v>51714</v>
      </c>
      <c r="C183" s="80">
        <f>INDEX(入力設定!$C$15:$C$24,INT((A183-1)/60)+1)</f>
        <v>0.03</v>
      </c>
      <c r="D183" s="70">
        <f t="shared" ca="1" si="61"/>
        <v>19889424.65967755</v>
      </c>
      <c r="E183" s="70">
        <f t="shared" ca="1" si="62"/>
        <v>203</v>
      </c>
      <c r="F183" s="70">
        <f ca="1">IF(D183+Z183&lt;0.000001,0,IF(D183&lt;0.000001,F182,IF(OR(AE183=1,AND(K182&gt;0,入力設定!$B$8="返済額軽減型",入力設定!$B$11="翌月")),IF(C183=0,D183/MAX(1,E183),D183*(C183/12)/(1-(1+C183/12)^(-MAX(1,E183)))),F182)))</f>
        <v>125052.99264303216</v>
      </c>
      <c r="G183" s="70">
        <f t="shared" ca="1" si="44"/>
        <v>125052.99264303216</v>
      </c>
      <c r="H183" s="70">
        <f t="shared" ca="1" si="45"/>
        <v>49723.561649193871</v>
      </c>
      <c r="I183" s="70">
        <f t="shared" ca="1" si="46"/>
        <v>75329.430993838294</v>
      </c>
      <c r="J183" s="70">
        <f>SUMIFS(入力設定!$G$5:$G$24,入力設定!$F$5:$F$24,A183)</f>
        <v>0</v>
      </c>
      <c r="K183" s="70">
        <f t="shared" ca="1" si="47"/>
        <v>0</v>
      </c>
      <c r="L183" s="70">
        <f ca="1">IF(K183&gt;0,入力設定!$B$9,0)</f>
        <v>0</v>
      </c>
      <c r="M183" s="70">
        <f t="shared" ca="1" si="48"/>
        <v>19814095.22868371</v>
      </c>
      <c r="N183" s="70">
        <f ca="1">IF(M183+AA183&lt;0.000001,0,IF(AND(K183&gt;0,入力設定!$B$8="期間短縮型",AA183&lt;0.000001,F183&gt;M183*C183/12),MAX(1,MIN(E183-1,IF(C183=0,ROUNDUP(M183/F183,0),ROUNDUP(-LN(1-M183*(C183/12)/F183)/LN(1+C183/12),0)))),MAX(1,E183-1)))</f>
        <v>202</v>
      </c>
      <c r="O183" s="70">
        <f t="shared" ca="1" si="49"/>
        <v>125052.99264303216</v>
      </c>
      <c r="P183" s="70">
        <f t="shared" ca="1" si="63"/>
        <v>23400460.191774886</v>
      </c>
      <c r="Q183" s="70">
        <f ca="1">IF(OR(A183&gt;入力設定!$B$6*12,P183+AC183&lt;0.000001),0,IF(P183&lt;0.000001,Q182,IF(AE183=1,IF(C183=0,P183/MAX(1,入力設定!$B$6*12-A183+1),P183*(C183/12)/(1-(1+C183/12)^(-MAX(1,入力設定!$B$6*12-A183+1)))),Q182)))</f>
        <v>128609.0218444733</v>
      </c>
      <c r="R183" s="70">
        <f ca="1">IF(P183+AC183&lt;0.000001,0,IF(A183=入力設定!$B$6*12,P183+AB183+AC183,MIN(Q183,P183+AB183+AC183)))</f>
        <v>128609.0218444733</v>
      </c>
      <c r="S183" s="70">
        <f t="shared" ca="1" si="50"/>
        <v>58501.150479437209</v>
      </c>
      <c r="T183" s="70">
        <f t="shared" ca="1" si="51"/>
        <v>70107.871365036088</v>
      </c>
      <c r="U183" s="70">
        <f t="shared" ca="1" si="52"/>
        <v>23330352.320409849</v>
      </c>
      <c r="V183" s="70">
        <f t="shared" ca="1" si="53"/>
        <v>0</v>
      </c>
      <c r="W183" s="70">
        <f t="shared" ca="1" si="54"/>
        <v>0</v>
      </c>
      <c r="X183" s="70">
        <f t="shared" ca="1" si="55"/>
        <v>0</v>
      </c>
      <c r="Y183" s="71">
        <f t="shared" ca="1" si="56"/>
        <v>49723.561649193871</v>
      </c>
      <c r="Z183" s="71">
        <f t="shared" ca="1" si="64"/>
        <v>0</v>
      </c>
      <c r="AA183" s="71">
        <f t="shared" ca="1" si="57"/>
        <v>0</v>
      </c>
      <c r="AB183" s="71">
        <f t="shared" ca="1" si="58"/>
        <v>58501.150479437209</v>
      </c>
      <c r="AC183" s="71">
        <f t="shared" ca="1" si="65"/>
        <v>0</v>
      </c>
      <c r="AD183" s="71">
        <f t="shared" ca="1" si="59"/>
        <v>0</v>
      </c>
      <c r="AE183" s="72">
        <f t="shared" si="60"/>
        <v>0</v>
      </c>
      <c r="AF183" s="73">
        <f>IF(A183&gt;入力設定!$B$6*12,0,IF(AND(ISNUMBER(C183),C183&gt;=0,C183&lt;=1),0,1))</f>
        <v>0</v>
      </c>
    </row>
    <row r="184" spans="1:32" ht="21" customHeight="1">
      <c r="A184" s="68">
        <f>179</f>
        <v>179</v>
      </c>
      <c r="B184" s="69">
        <f>EDATE(入力設定!$B$7,A184-1)</f>
        <v>51745</v>
      </c>
      <c r="C184" s="80">
        <f>INDEX(入力設定!$C$15:$C$24,INT((A184-1)/60)+1)</f>
        <v>0.03</v>
      </c>
      <c r="D184" s="70">
        <f t="shared" ca="1" si="61"/>
        <v>19814095.22868371</v>
      </c>
      <c r="E184" s="70">
        <f t="shared" ca="1" si="62"/>
        <v>202</v>
      </c>
      <c r="F184" s="70">
        <f ca="1">IF(D184+Z184&lt;0.000001,0,IF(D184&lt;0.000001,F183,IF(OR(AE184=1,AND(K183&gt;0,入力設定!$B$8="返済額軽減型",入力設定!$B$11="翌月")),IF(C184=0,D184/MAX(1,E184),D184*(C184/12)/(1-(1+C184/12)^(-MAX(1,E184)))),F183)))</f>
        <v>125052.99264303216</v>
      </c>
      <c r="G184" s="70">
        <f t="shared" ca="1" si="44"/>
        <v>125052.99264303216</v>
      </c>
      <c r="H184" s="70">
        <f t="shared" ca="1" si="45"/>
        <v>49535.238071709267</v>
      </c>
      <c r="I184" s="70">
        <f t="shared" ca="1" si="46"/>
        <v>75517.754571322905</v>
      </c>
      <c r="J184" s="70">
        <f>SUMIFS(入力設定!$G$5:$G$24,入力設定!$F$5:$F$24,A184)</f>
        <v>0</v>
      </c>
      <c r="K184" s="70">
        <f t="shared" ca="1" si="47"/>
        <v>0</v>
      </c>
      <c r="L184" s="70">
        <f ca="1">IF(K184&gt;0,入力設定!$B$9,0)</f>
        <v>0</v>
      </c>
      <c r="M184" s="70">
        <f t="shared" ca="1" si="48"/>
        <v>19738577.474112388</v>
      </c>
      <c r="N184" s="70">
        <f ca="1">IF(M184+AA184&lt;0.000001,0,IF(AND(K184&gt;0,入力設定!$B$8="期間短縮型",AA184&lt;0.000001,F184&gt;M184*C184/12),MAX(1,MIN(E184-1,IF(C184=0,ROUNDUP(M184/F184,0),ROUNDUP(-LN(1-M184*(C184/12)/F184)/LN(1+C184/12),0)))),MAX(1,E184-1)))</f>
        <v>201</v>
      </c>
      <c r="O184" s="70">
        <f t="shared" ca="1" si="49"/>
        <v>125052.99264303216</v>
      </c>
      <c r="P184" s="70">
        <f t="shared" ca="1" si="63"/>
        <v>23330352.320409849</v>
      </c>
      <c r="Q184" s="70">
        <f ca="1">IF(OR(A184&gt;入力設定!$B$6*12,P184+AC184&lt;0.000001),0,IF(P184&lt;0.000001,Q183,IF(AE184=1,IF(C184=0,P184/MAX(1,入力設定!$B$6*12-A184+1),P184*(C184/12)/(1-(1+C184/12)^(-MAX(1,入力設定!$B$6*12-A184+1)))),Q183)))</f>
        <v>128609.0218444733</v>
      </c>
      <c r="R184" s="70">
        <f ca="1">IF(P184+AC184&lt;0.000001,0,IF(A184=入力設定!$B$6*12,P184+AB184+AC184,MIN(Q184,P184+AB184+AC184)))</f>
        <v>128609.0218444733</v>
      </c>
      <c r="S184" s="70">
        <f t="shared" ca="1" si="50"/>
        <v>58325.880801024621</v>
      </c>
      <c r="T184" s="70">
        <f t="shared" ca="1" si="51"/>
        <v>70283.141043448675</v>
      </c>
      <c r="U184" s="70">
        <f t="shared" ca="1" si="52"/>
        <v>23260069.179366402</v>
      </c>
      <c r="V184" s="70">
        <f t="shared" ca="1" si="53"/>
        <v>0</v>
      </c>
      <c r="W184" s="70">
        <f t="shared" ca="1" si="54"/>
        <v>0</v>
      </c>
      <c r="X184" s="70">
        <f t="shared" ca="1" si="55"/>
        <v>0</v>
      </c>
      <c r="Y184" s="71">
        <f t="shared" ca="1" si="56"/>
        <v>49535.238071709267</v>
      </c>
      <c r="Z184" s="71">
        <f t="shared" ca="1" si="64"/>
        <v>0</v>
      </c>
      <c r="AA184" s="71">
        <f t="shared" ca="1" si="57"/>
        <v>0</v>
      </c>
      <c r="AB184" s="71">
        <f t="shared" ca="1" si="58"/>
        <v>58325.880801024621</v>
      </c>
      <c r="AC184" s="71">
        <f t="shared" ca="1" si="65"/>
        <v>0</v>
      </c>
      <c r="AD184" s="71">
        <f t="shared" ca="1" si="59"/>
        <v>0</v>
      </c>
      <c r="AE184" s="72">
        <f t="shared" si="60"/>
        <v>0</v>
      </c>
      <c r="AF184" s="73">
        <f>IF(A184&gt;入力設定!$B$6*12,0,IF(AND(ISNUMBER(C184),C184&gt;=0,C184&lt;=1),0,1))</f>
        <v>0</v>
      </c>
    </row>
    <row r="185" spans="1:32" ht="21" customHeight="1">
      <c r="A185" s="68">
        <f>180</f>
        <v>180</v>
      </c>
      <c r="B185" s="69">
        <f>EDATE(入力設定!$B$7,A185-1)</f>
        <v>51775</v>
      </c>
      <c r="C185" s="80">
        <f>INDEX(入力設定!$C$15:$C$24,INT((A185-1)/60)+1)</f>
        <v>0.03</v>
      </c>
      <c r="D185" s="70">
        <f t="shared" ca="1" si="61"/>
        <v>19738577.474112388</v>
      </c>
      <c r="E185" s="70">
        <f t="shared" ca="1" si="62"/>
        <v>201</v>
      </c>
      <c r="F185" s="70">
        <f ca="1">IF(D185+Z185&lt;0.000001,0,IF(D185&lt;0.000001,F184,IF(OR(AE185=1,AND(K184&gt;0,入力設定!$B$8="返済額軽減型",入力設定!$B$11="翌月")),IF(C185=0,D185/MAX(1,E185),D185*(C185/12)/(1-(1+C185/12)^(-MAX(1,E185)))),F184)))</f>
        <v>125052.99264303216</v>
      </c>
      <c r="G185" s="70">
        <f t="shared" ca="1" si="44"/>
        <v>125052.99264303216</v>
      </c>
      <c r="H185" s="70">
        <f t="shared" ca="1" si="45"/>
        <v>49346.443685280967</v>
      </c>
      <c r="I185" s="70">
        <f t="shared" ca="1" si="46"/>
        <v>75706.548957751191</v>
      </c>
      <c r="J185" s="70">
        <f>SUMIFS(入力設定!$G$5:$G$24,入力設定!$F$5:$F$24,A185)</f>
        <v>0</v>
      </c>
      <c r="K185" s="70">
        <f t="shared" ca="1" si="47"/>
        <v>0</v>
      </c>
      <c r="L185" s="70">
        <f ca="1">IF(K185&gt;0,入力設定!$B$9,0)</f>
        <v>0</v>
      </c>
      <c r="M185" s="70">
        <f t="shared" ca="1" si="48"/>
        <v>19662870.925154638</v>
      </c>
      <c r="N185" s="70">
        <f ca="1">IF(M185+AA185&lt;0.000001,0,IF(AND(K185&gt;0,入力設定!$B$8="期間短縮型",AA185&lt;0.000001,F185&gt;M185*C185/12),MAX(1,MIN(E185-1,IF(C185=0,ROUNDUP(M185/F185,0),ROUNDUP(-LN(1-M185*(C185/12)/F185)/LN(1+C185/12),0)))),MAX(1,E185-1)))</f>
        <v>200</v>
      </c>
      <c r="O185" s="70">
        <f t="shared" ca="1" si="49"/>
        <v>125052.99264303216</v>
      </c>
      <c r="P185" s="70">
        <f t="shared" ca="1" si="63"/>
        <v>23260069.179366402</v>
      </c>
      <c r="Q185" s="70">
        <f ca="1">IF(OR(A185&gt;入力設定!$B$6*12,P185+AC185&lt;0.000001),0,IF(P185&lt;0.000001,Q184,IF(AE185=1,IF(C185=0,P185/MAX(1,入力設定!$B$6*12-A185+1),P185*(C185/12)/(1-(1+C185/12)^(-MAX(1,入力設定!$B$6*12-A185+1)))),Q184)))</f>
        <v>128609.0218444733</v>
      </c>
      <c r="R185" s="70">
        <f ca="1">IF(P185+AC185&lt;0.000001,0,IF(A185=入力設定!$B$6*12,P185+AB185+AC185,MIN(Q185,P185+AB185+AC185)))</f>
        <v>128609.0218444733</v>
      </c>
      <c r="S185" s="70">
        <f t="shared" ca="1" si="50"/>
        <v>58150.172948416002</v>
      </c>
      <c r="T185" s="70">
        <f t="shared" ca="1" si="51"/>
        <v>70458.848896057301</v>
      </c>
      <c r="U185" s="70">
        <f t="shared" ca="1" si="52"/>
        <v>23189610.330470346</v>
      </c>
      <c r="V185" s="70">
        <f t="shared" ca="1" si="53"/>
        <v>0</v>
      </c>
      <c r="W185" s="70">
        <f t="shared" ca="1" si="54"/>
        <v>0</v>
      </c>
      <c r="X185" s="70">
        <f t="shared" ca="1" si="55"/>
        <v>0</v>
      </c>
      <c r="Y185" s="71">
        <f t="shared" ca="1" si="56"/>
        <v>49346.443685280967</v>
      </c>
      <c r="Z185" s="71">
        <f t="shared" ca="1" si="64"/>
        <v>0</v>
      </c>
      <c r="AA185" s="71">
        <f t="shared" ca="1" si="57"/>
        <v>0</v>
      </c>
      <c r="AB185" s="71">
        <f t="shared" ca="1" si="58"/>
        <v>58150.172948416002</v>
      </c>
      <c r="AC185" s="71">
        <f t="shared" ca="1" si="65"/>
        <v>0</v>
      </c>
      <c r="AD185" s="71">
        <f t="shared" ca="1" si="59"/>
        <v>0</v>
      </c>
      <c r="AE185" s="72">
        <f t="shared" si="60"/>
        <v>0</v>
      </c>
      <c r="AF185" s="73">
        <f>IF(A185&gt;入力設定!$B$6*12,0,IF(AND(ISNUMBER(C185),C185&gt;=0,C185&lt;=1),0,1))</f>
        <v>0</v>
      </c>
    </row>
    <row r="186" spans="1:32" ht="21" customHeight="1">
      <c r="A186" s="68">
        <f>181</f>
        <v>181</v>
      </c>
      <c r="B186" s="69">
        <f>EDATE(入力設定!$B$7,A186-1)</f>
        <v>51806</v>
      </c>
      <c r="C186" s="80">
        <f>INDEX(入力設定!$C$15:$C$24,INT((A186-1)/60)+1)</f>
        <v>0.04</v>
      </c>
      <c r="D186" s="70">
        <f t="shared" ca="1" si="61"/>
        <v>19662870.925154638</v>
      </c>
      <c r="E186" s="70">
        <f t="shared" ca="1" si="62"/>
        <v>200</v>
      </c>
      <c r="F186" s="70">
        <f ca="1">IF(D186+Z186&lt;0.000001,0,IF(D186&lt;0.000001,F185,IF(OR(AE186=1,AND(K185&gt;0,入力設定!$B$8="返済額軽減型",入力設定!$B$11="翌月")),IF(C186=0,D186/MAX(1,E186),D186*(C186/12)/(1-(1+C186/12)^(-MAX(1,E186)))),F185)))</f>
        <v>134858.23151181499</v>
      </c>
      <c r="G186" s="70">
        <f t="shared" ca="1" si="44"/>
        <v>134858.23151181499</v>
      </c>
      <c r="H186" s="70">
        <f t="shared" ca="1" si="45"/>
        <v>65542.903083848796</v>
      </c>
      <c r="I186" s="70">
        <f t="shared" ca="1" si="46"/>
        <v>69315.328427966189</v>
      </c>
      <c r="J186" s="70">
        <f>SUMIFS(入力設定!$G$5:$G$24,入力設定!$F$5:$F$24,A186)</f>
        <v>0</v>
      </c>
      <c r="K186" s="70">
        <f t="shared" ca="1" si="47"/>
        <v>0</v>
      </c>
      <c r="L186" s="70">
        <f ca="1">IF(K186&gt;0,入力設定!$B$9,0)</f>
        <v>0</v>
      </c>
      <c r="M186" s="70">
        <f t="shared" ca="1" si="48"/>
        <v>19593555.596726671</v>
      </c>
      <c r="N186" s="70">
        <f ca="1">IF(M186+AA186&lt;0.000001,0,IF(AND(K186&gt;0,入力設定!$B$8="期間短縮型",AA186&lt;0.000001,F186&gt;M186*C186/12),MAX(1,MIN(E186-1,IF(C186=0,ROUNDUP(M186/F186,0),ROUNDUP(-LN(1-M186*(C186/12)/F186)/LN(1+C186/12),0)))),MAX(1,E186-1)))</f>
        <v>199</v>
      </c>
      <c r="O186" s="70">
        <f t="shared" ca="1" si="49"/>
        <v>134858.23151181499</v>
      </c>
      <c r="P186" s="70">
        <f t="shared" ca="1" si="63"/>
        <v>23189610.330470346</v>
      </c>
      <c r="Q186" s="70">
        <f ca="1">IF(OR(A186&gt;入力設定!$B$6*12,P186+AC186&lt;0.000001),0,IF(P186&lt;0.000001,Q185,IF(AE186=1,IF(C186=0,P186/MAX(1,入力設定!$B$6*12-A186+1),P186*(C186/12)/(1-(1+C186/12)^(-MAX(1,入力設定!$B$6*12-A186+1)))),Q185)))</f>
        <v>140524.47704383376</v>
      </c>
      <c r="R186" s="70">
        <f ca="1">IF(P186+AC186&lt;0.000001,0,IF(A186=入力設定!$B$6*12,P186+AB186+AC186,MIN(Q186,P186+AB186+AC186)))</f>
        <v>140524.47704383376</v>
      </c>
      <c r="S186" s="70">
        <f t="shared" ca="1" si="50"/>
        <v>77298.701101567814</v>
      </c>
      <c r="T186" s="70">
        <f t="shared" ca="1" si="51"/>
        <v>63225.775942265944</v>
      </c>
      <c r="U186" s="70">
        <f t="shared" ca="1" si="52"/>
        <v>23126384.55452808</v>
      </c>
      <c r="V186" s="70">
        <f t="shared" ca="1" si="53"/>
        <v>0</v>
      </c>
      <c r="W186" s="70">
        <f t="shared" ca="1" si="54"/>
        <v>0</v>
      </c>
      <c r="X186" s="70">
        <f t="shared" ca="1" si="55"/>
        <v>0</v>
      </c>
      <c r="Y186" s="71">
        <f t="shared" ca="1" si="56"/>
        <v>65542.903083848796</v>
      </c>
      <c r="Z186" s="71">
        <f t="shared" ca="1" si="64"/>
        <v>0</v>
      </c>
      <c r="AA186" s="71">
        <f t="shared" ca="1" si="57"/>
        <v>0</v>
      </c>
      <c r="AB186" s="71">
        <f t="shared" ca="1" si="58"/>
        <v>77298.701101567814</v>
      </c>
      <c r="AC186" s="71">
        <f t="shared" ca="1" si="65"/>
        <v>0</v>
      </c>
      <c r="AD186" s="71">
        <f t="shared" ca="1" si="59"/>
        <v>0</v>
      </c>
      <c r="AE186" s="72">
        <f t="shared" si="60"/>
        <v>1</v>
      </c>
      <c r="AF186" s="73">
        <f>IF(A186&gt;入力設定!$B$6*12,0,IF(AND(ISNUMBER(C186),C186&gt;=0,C186&lt;=1),0,1))</f>
        <v>0</v>
      </c>
    </row>
    <row r="187" spans="1:32" ht="21" customHeight="1">
      <c r="A187" s="68">
        <f>182</f>
        <v>182</v>
      </c>
      <c r="B187" s="69">
        <f>EDATE(入力設定!$B$7,A187-1)</f>
        <v>51836</v>
      </c>
      <c r="C187" s="80">
        <f>INDEX(入力設定!$C$15:$C$24,INT((A187-1)/60)+1)</f>
        <v>0.04</v>
      </c>
      <c r="D187" s="70">
        <f t="shared" ca="1" si="61"/>
        <v>19593555.596726671</v>
      </c>
      <c r="E187" s="70">
        <f t="shared" ca="1" si="62"/>
        <v>199</v>
      </c>
      <c r="F187" s="70">
        <f ca="1">IF(D187+Z187&lt;0.000001,0,IF(D187&lt;0.000001,F186,IF(OR(AE187=1,AND(K186&gt;0,入力設定!$B$8="返済額軽減型",入力設定!$B$11="翌月")),IF(C187=0,D187/MAX(1,E187),D187*(C187/12)/(1-(1+C187/12)^(-MAX(1,E187)))),F186)))</f>
        <v>134858.23151181499</v>
      </c>
      <c r="G187" s="70">
        <f t="shared" ca="1" si="44"/>
        <v>134858.23151181499</v>
      </c>
      <c r="H187" s="70">
        <f t="shared" ca="1" si="45"/>
        <v>65311.8519890889</v>
      </c>
      <c r="I187" s="70">
        <f t="shared" ca="1" si="46"/>
        <v>69546.379522726085</v>
      </c>
      <c r="J187" s="70">
        <f>SUMIFS(入力設定!$G$5:$G$24,入力設定!$F$5:$F$24,A187)</f>
        <v>0</v>
      </c>
      <c r="K187" s="70">
        <f t="shared" ca="1" si="47"/>
        <v>0</v>
      </c>
      <c r="L187" s="70">
        <f ca="1">IF(K187&gt;0,入力設定!$B$9,0)</f>
        <v>0</v>
      </c>
      <c r="M187" s="70">
        <f t="shared" ca="1" si="48"/>
        <v>19524009.217203945</v>
      </c>
      <c r="N187" s="70">
        <f ca="1">IF(M187+AA187&lt;0.000001,0,IF(AND(K187&gt;0,入力設定!$B$8="期間短縮型",AA187&lt;0.000001,F187&gt;M187*C187/12),MAX(1,MIN(E187-1,IF(C187=0,ROUNDUP(M187/F187,0),ROUNDUP(-LN(1-M187*(C187/12)/F187)/LN(1+C187/12),0)))),MAX(1,E187-1)))</f>
        <v>198</v>
      </c>
      <c r="O187" s="70">
        <f t="shared" ca="1" si="49"/>
        <v>134858.23151181499</v>
      </c>
      <c r="P187" s="70">
        <f t="shared" ca="1" si="63"/>
        <v>23126384.55452808</v>
      </c>
      <c r="Q187" s="70">
        <f ca="1">IF(OR(A187&gt;入力設定!$B$6*12,P187+AC187&lt;0.000001),0,IF(P187&lt;0.000001,Q186,IF(AE187=1,IF(C187=0,P187/MAX(1,入力設定!$B$6*12-A187+1),P187*(C187/12)/(1-(1+C187/12)^(-MAX(1,入力設定!$B$6*12-A187+1)))),Q186)))</f>
        <v>140524.47704383376</v>
      </c>
      <c r="R187" s="70">
        <f ca="1">IF(P187+AC187&lt;0.000001,0,IF(A187=入力設定!$B$6*12,P187+AB187+AC187,MIN(Q187,P187+AB187+AC187)))</f>
        <v>140524.47704383376</v>
      </c>
      <c r="S187" s="70">
        <f t="shared" ca="1" si="50"/>
        <v>77087.948515093609</v>
      </c>
      <c r="T187" s="70">
        <f t="shared" ca="1" si="51"/>
        <v>63436.528528740149</v>
      </c>
      <c r="U187" s="70">
        <f t="shared" ca="1" si="52"/>
        <v>23062948.025999341</v>
      </c>
      <c r="V187" s="70">
        <f t="shared" ca="1" si="53"/>
        <v>0</v>
      </c>
      <c r="W187" s="70">
        <f t="shared" ca="1" si="54"/>
        <v>0</v>
      </c>
      <c r="X187" s="70">
        <f t="shared" ca="1" si="55"/>
        <v>0</v>
      </c>
      <c r="Y187" s="71">
        <f t="shared" ca="1" si="56"/>
        <v>65311.8519890889</v>
      </c>
      <c r="Z187" s="71">
        <f t="shared" ca="1" si="64"/>
        <v>0</v>
      </c>
      <c r="AA187" s="71">
        <f t="shared" ca="1" si="57"/>
        <v>0</v>
      </c>
      <c r="AB187" s="71">
        <f t="shared" ca="1" si="58"/>
        <v>77087.948515093609</v>
      </c>
      <c r="AC187" s="71">
        <f t="shared" ca="1" si="65"/>
        <v>0</v>
      </c>
      <c r="AD187" s="71">
        <f t="shared" ca="1" si="59"/>
        <v>0</v>
      </c>
      <c r="AE187" s="72">
        <f t="shared" si="60"/>
        <v>0</v>
      </c>
      <c r="AF187" s="73">
        <f>IF(A187&gt;入力設定!$B$6*12,0,IF(AND(ISNUMBER(C187),C187&gt;=0,C187&lt;=1),0,1))</f>
        <v>0</v>
      </c>
    </row>
    <row r="188" spans="1:32" ht="21" customHeight="1">
      <c r="A188" s="68">
        <f>183</f>
        <v>183</v>
      </c>
      <c r="B188" s="69">
        <f>EDATE(入力設定!$B$7,A188-1)</f>
        <v>51867</v>
      </c>
      <c r="C188" s="80">
        <f>INDEX(入力設定!$C$15:$C$24,INT((A188-1)/60)+1)</f>
        <v>0.04</v>
      </c>
      <c r="D188" s="70">
        <f t="shared" ca="1" si="61"/>
        <v>19524009.217203945</v>
      </c>
      <c r="E188" s="70">
        <f t="shared" ca="1" si="62"/>
        <v>198</v>
      </c>
      <c r="F188" s="70">
        <f ca="1">IF(D188+Z188&lt;0.000001,0,IF(D188&lt;0.000001,F187,IF(OR(AE188=1,AND(K187&gt;0,入力設定!$B$8="返済額軽減型",入力設定!$B$11="翌月")),IF(C188=0,D188/MAX(1,E188),D188*(C188/12)/(1-(1+C188/12)^(-MAX(1,E188)))),F187)))</f>
        <v>134858.23151181499</v>
      </c>
      <c r="G188" s="70">
        <f t="shared" ca="1" si="44"/>
        <v>134858.23151181499</v>
      </c>
      <c r="H188" s="70">
        <f t="shared" ca="1" si="45"/>
        <v>65080.030724013144</v>
      </c>
      <c r="I188" s="70">
        <f t="shared" ca="1" si="46"/>
        <v>69778.200787801848</v>
      </c>
      <c r="J188" s="70">
        <f>SUMIFS(入力設定!$G$5:$G$24,入力設定!$F$5:$F$24,A188)</f>
        <v>0</v>
      </c>
      <c r="K188" s="70">
        <f t="shared" ca="1" si="47"/>
        <v>0</v>
      </c>
      <c r="L188" s="70">
        <f ca="1">IF(K188&gt;0,入力設定!$B$9,0)</f>
        <v>0</v>
      </c>
      <c r="M188" s="70">
        <f t="shared" ca="1" si="48"/>
        <v>19454231.016416144</v>
      </c>
      <c r="N188" s="70">
        <f ca="1">IF(M188+AA188&lt;0.000001,0,IF(AND(K188&gt;0,入力設定!$B$8="期間短縮型",AA188&lt;0.000001,F188&gt;M188*C188/12),MAX(1,MIN(E188-1,IF(C188=0,ROUNDUP(M188/F188,0),ROUNDUP(-LN(1-M188*(C188/12)/F188)/LN(1+C188/12),0)))),MAX(1,E188-1)))</f>
        <v>197</v>
      </c>
      <c r="O188" s="70">
        <f t="shared" ca="1" si="49"/>
        <v>134858.23151181499</v>
      </c>
      <c r="P188" s="70">
        <f t="shared" ca="1" si="63"/>
        <v>23062948.025999341</v>
      </c>
      <c r="Q188" s="70">
        <f ca="1">IF(OR(A188&gt;入力設定!$B$6*12,P188+AC188&lt;0.000001),0,IF(P188&lt;0.000001,Q187,IF(AE188=1,IF(C188=0,P188/MAX(1,入力設定!$B$6*12-A188+1),P188*(C188/12)/(1-(1+C188/12)^(-MAX(1,入力設定!$B$6*12-A188+1)))),Q187)))</f>
        <v>140524.47704383376</v>
      </c>
      <c r="R188" s="70">
        <f ca="1">IF(P188+AC188&lt;0.000001,0,IF(A188=入力設定!$B$6*12,P188+AB188+AC188,MIN(Q188,P188+AB188+AC188)))</f>
        <v>140524.47704383376</v>
      </c>
      <c r="S188" s="70">
        <f t="shared" ca="1" si="50"/>
        <v>76876.493419997802</v>
      </c>
      <c r="T188" s="70">
        <f t="shared" ca="1" si="51"/>
        <v>63647.983623835957</v>
      </c>
      <c r="U188" s="70">
        <f t="shared" ca="1" si="52"/>
        <v>22999300.042375505</v>
      </c>
      <c r="V188" s="70">
        <f t="shared" ca="1" si="53"/>
        <v>0</v>
      </c>
      <c r="W188" s="70">
        <f t="shared" ca="1" si="54"/>
        <v>0</v>
      </c>
      <c r="X188" s="70">
        <f t="shared" ca="1" si="55"/>
        <v>0</v>
      </c>
      <c r="Y188" s="71">
        <f t="shared" ca="1" si="56"/>
        <v>65080.030724013144</v>
      </c>
      <c r="Z188" s="71">
        <f t="shared" ca="1" si="64"/>
        <v>0</v>
      </c>
      <c r="AA188" s="71">
        <f t="shared" ca="1" si="57"/>
        <v>0</v>
      </c>
      <c r="AB188" s="71">
        <f t="shared" ca="1" si="58"/>
        <v>76876.493419997802</v>
      </c>
      <c r="AC188" s="71">
        <f t="shared" ca="1" si="65"/>
        <v>0</v>
      </c>
      <c r="AD188" s="71">
        <f t="shared" ca="1" si="59"/>
        <v>0</v>
      </c>
      <c r="AE188" s="72">
        <f t="shared" si="60"/>
        <v>0</v>
      </c>
      <c r="AF188" s="73">
        <f>IF(A188&gt;入力設定!$B$6*12,0,IF(AND(ISNUMBER(C188),C188&gt;=0,C188&lt;=1),0,1))</f>
        <v>0</v>
      </c>
    </row>
    <row r="189" spans="1:32" ht="21" customHeight="1">
      <c r="A189" s="68">
        <f>184</f>
        <v>184</v>
      </c>
      <c r="B189" s="69">
        <f>EDATE(入力設定!$B$7,A189-1)</f>
        <v>51898</v>
      </c>
      <c r="C189" s="80">
        <f>INDEX(入力設定!$C$15:$C$24,INT((A189-1)/60)+1)</f>
        <v>0.04</v>
      </c>
      <c r="D189" s="70">
        <f t="shared" ca="1" si="61"/>
        <v>19454231.016416144</v>
      </c>
      <c r="E189" s="70">
        <f t="shared" ca="1" si="62"/>
        <v>197</v>
      </c>
      <c r="F189" s="70">
        <f ca="1">IF(D189+Z189&lt;0.000001,0,IF(D189&lt;0.000001,F188,IF(OR(AE189=1,AND(K188&gt;0,入力設定!$B$8="返済額軽減型",入力設定!$B$11="翌月")),IF(C189=0,D189/MAX(1,E189),D189*(C189/12)/(1-(1+C189/12)^(-MAX(1,E189)))),F188)))</f>
        <v>134858.23151181499</v>
      </c>
      <c r="G189" s="70">
        <f t="shared" ca="1" si="44"/>
        <v>134858.23151181499</v>
      </c>
      <c r="H189" s="70">
        <f t="shared" ca="1" si="45"/>
        <v>64847.436721387145</v>
      </c>
      <c r="I189" s="70">
        <f t="shared" ca="1" si="46"/>
        <v>70010.794790427841</v>
      </c>
      <c r="J189" s="70">
        <f>SUMIFS(入力設定!$G$5:$G$24,入力設定!$F$5:$F$24,A189)</f>
        <v>0</v>
      </c>
      <c r="K189" s="70">
        <f t="shared" ca="1" si="47"/>
        <v>0</v>
      </c>
      <c r="L189" s="70">
        <f ca="1">IF(K189&gt;0,入力設定!$B$9,0)</f>
        <v>0</v>
      </c>
      <c r="M189" s="70">
        <f t="shared" ca="1" si="48"/>
        <v>19384220.221625715</v>
      </c>
      <c r="N189" s="70">
        <f ca="1">IF(M189+AA189&lt;0.000001,0,IF(AND(K189&gt;0,入力設定!$B$8="期間短縮型",AA189&lt;0.000001,F189&gt;M189*C189/12),MAX(1,MIN(E189-1,IF(C189=0,ROUNDUP(M189/F189,0),ROUNDUP(-LN(1-M189*(C189/12)/F189)/LN(1+C189/12),0)))),MAX(1,E189-1)))</f>
        <v>196</v>
      </c>
      <c r="O189" s="70">
        <f t="shared" ca="1" si="49"/>
        <v>134858.23151181499</v>
      </c>
      <c r="P189" s="70">
        <f t="shared" ca="1" si="63"/>
        <v>22999300.042375505</v>
      </c>
      <c r="Q189" s="70">
        <f ca="1">IF(OR(A189&gt;入力設定!$B$6*12,P189+AC189&lt;0.000001),0,IF(P189&lt;0.000001,Q188,IF(AE189=1,IF(C189=0,P189/MAX(1,入力設定!$B$6*12-A189+1),P189*(C189/12)/(1-(1+C189/12)^(-MAX(1,入力設定!$B$6*12-A189+1)))),Q188)))</f>
        <v>140524.47704383376</v>
      </c>
      <c r="R189" s="70">
        <f ca="1">IF(P189+AC189&lt;0.000001,0,IF(A189=入力設定!$B$6*12,P189+AB189+AC189,MIN(Q189,P189+AB189+AC189)))</f>
        <v>140524.47704383376</v>
      </c>
      <c r="S189" s="70">
        <f t="shared" ca="1" si="50"/>
        <v>76664.333474585015</v>
      </c>
      <c r="T189" s="70">
        <f t="shared" ca="1" si="51"/>
        <v>63860.143569248743</v>
      </c>
      <c r="U189" s="70">
        <f t="shared" ca="1" si="52"/>
        <v>22935439.898806255</v>
      </c>
      <c r="V189" s="70">
        <f t="shared" ca="1" si="53"/>
        <v>0</v>
      </c>
      <c r="W189" s="70">
        <f t="shared" ca="1" si="54"/>
        <v>0</v>
      </c>
      <c r="X189" s="70">
        <f t="shared" ca="1" si="55"/>
        <v>0</v>
      </c>
      <c r="Y189" s="71">
        <f t="shared" ca="1" si="56"/>
        <v>64847.436721387145</v>
      </c>
      <c r="Z189" s="71">
        <f t="shared" ca="1" si="64"/>
        <v>0</v>
      </c>
      <c r="AA189" s="71">
        <f t="shared" ca="1" si="57"/>
        <v>0</v>
      </c>
      <c r="AB189" s="71">
        <f t="shared" ca="1" si="58"/>
        <v>76664.333474585015</v>
      </c>
      <c r="AC189" s="71">
        <f t="shared" ca="1" si="65"/>
        <v>0</v>
      </c>
      <c r="AD189" s="71">
        <f t="shared" ca="1" si="59"/>
        <v>0</v>
      </c>
      <c r="AE189" s="72">
        <f t="shared" si="60"/>
        <v>0</v>
      </c>
      <c r="AF189" s="73">
        <f>IF(A189&gt;入力設定!$B$6*12,0,IF(AND(ISNUMBER(C189),C189&gt;=0,C189&lt;=1),0,1))</f>
        <v>0</v>
      </c>
    </row>
    <row r="190" spans="1:32" ht="21" customHeight="1">
      <c r="A190" s="68">
        <f>185</f>
        <v>185</v>
      </c>
      <c r="B190" s="69">
        <f>EDATE(入力設定!$B$7,A190-1)</f>
        <v>51926</v>
      </c>
      <c r="C190" s="80">
        <f>INDEX(入力設定!$C$15:$C$24,INT((A190-1)/60)+1)</f>
        <v>0.04</v>
      </c>
      <c r="D190" s="70">
        <f t="shared" ca="1" si="61"/>
        <v>19384220.221625715</v>
      </c>
      <c r="E190" s="70">
        <f t="shared" ca="1" si="62"/>
        <v>196</v>
      </c>
      <c r="F190" s="70">
        <f ca="1">IF(D190+Z190&lt;0.000001,0,IF(D190&lt;0.000001,F189,IF(OR(AE190=1,AND(K189&gt;0,入力設定!$B$8="返済額軽減型",入力設定!$B$11="翌月")),IF(C190=0,D190/MAX(1,E190),D190*(C190/12)/(1-(1+C190/12)^(-MAX(1,E190)))),F189)))</f>
        <v>134858.23151181499</v>
      </c>
      <c r="G190" s="70">
        <f t="shared" ca="1" si="44"/>
        <v>134858.23151181499</v>
      </c>
      <c r="H190" s="70">
        <f t="shared" ca="1" si="45"/>
        <v>64614.067405419053</v>
      </c>
      <c r="I190" s="70">
        <f t="shared" ca="1" si="46"/>
        <v>70244.16410639594</v>
      </c>
      <c r="J190" s="70">
        <f>SUMIFS(入力設定!$G$5:$G$24,入力設定!$F$5:$F$24,A190)</f>
        <v>0</v>
      </c>
      <c r="K190" s="70">
        <f t="shared" ca="1" si="47"/>
        <v>0</v>
      </c>
      <c r="L190" s="70">
        <f ca="1">IF(K190&gt;0,入力設定!$B$9,0)</f>
        <v>0</v>
      </c>
      <c r="M190" s="70">
        <f t="shared" ca="1" si="48"/>
        <v>19313976.05751932</v>
      </c>
      <c r="N190" s="70">
        <f ca="1">IF(M190+AA190&lt;0.000001,0,IF(AND(K190&gt;0,入力設定!$B$8="期間短縮型",AA190&lt;0.000001,F190&gt;M190*C190/12),MAX(1,MIN(E190-1,IF(C190=0,ROUNDUP(M190/F190,0),ROUNDUP(-LN(1-M190*(C190/12)/F190)/LN(1+C190/12),0)))),MAX(1,E190-1)))</f>
        <v>195</v>
      </c>
      <c r="O190" s="70">
        <f t="shared" ca="1" si="49"/>
        <v>134858.23151181499</v>
      </c>
      <c r="P190" s="70">
        <f t="shared" ca="1" si="63"/>
        <v>22935439.898806255</v>
      </c>
      <c r="Q190" s="70">
        <f ca="1">IF(OR(A190&gt;入力設定!$B$6*12,P190+AC190&lt;0.000001),0,IF(P190&lt;0.000001,Q189,IF(AE190=1,IF(C190=0,P190/MAX(1,入力設定!$B$6*12-A190+1),P190*(C190/12)/(1-(1+C190/12)^(-MAX(1,入力設定!$B$6*12-A190+1)))),Q189)))</f>
        <v>140524.47704383376</v>
      </c>
      <c r="R190" s="70">
        <f ca="1">IF(P190+AC190&lt;0.000001,0,IF(A190=入力設定!$B$6*12,P190+AB190+AC190,MIN(Q190,P190+AB190+AC190)))</f>
        <v>140524.47704383376</v>
      </c>
      <c r="S190" s="70">
        <f t="shared" ca="1" si="50"/>
        <v>76451.466329354182</v>
      </c>
      <c r="T190" s="70">
        <f t="shared" ca="1" si="51"/>
        <v>64073.010714479577</v>
      </c>
      <c r="U190" s="70">
        <f t="shared" ca="1" si="52"/>
        <v>22871366.888091777</v>
      </c>
      <c r="V190" s="70">
        <f t="shared" ca="1" si="53"/>
        <v>0</v>
      </c>
      <c r="W190" s="70">
        <f t="shared" ca="1" si="54"/>
        <v>0</v>
      </c>
      <c r="X190" s="70">
        <f t="shared" ca="1" si="55"/>
        <v>0</v>
      </c>
      <c r="Y190" s="71">
        <f t="shared" ca="1" si="56"/>
        <v>64614.067405419053</v>
      </c>
      <c r="Z190" s="71">
        <f t="shared" ca="1" si="64"/>
        <v>0</v>
      </c>
      <c r="AA190" s="71">
        <f t="shared" ca="1" si="57"/>
        <v>0</v>
      </c>
      <c r="AB190" s="71">
        <f t="shared" ca="1" si="58"/>
        <v>76451.466329354182</v>
      </c>
      <c r="AC190" s="71">
        <f t="shared" ca="1" si="65"/>
        <v>0</v>
      </c>
      <c r="AD190" s="71">
        <f t="shared" ca="1" si="59"/>
        <v>0</v>
      </c>
      <c r="AE190" s="72">
        <f t="shared" si="60"/>
        <v>0</v>
      </c>
      <c r="AF190" s="73">
        <f>IF(A190&gt;入力設定!$B$6*12,0,IF(AND(ISNUMBER(C190),C190&gt;=0,C190&lt;=1),0,1))</f>
        <v>0</v>
      </c>
    </row>
    <row r="191" spans="1:32" ht="21" customHeight="1">
      <c r="A191" s="68">
        <f>186</f>
        <v>186</v>
      </c>
      <c r="B191" s="69">
        <f>EDATE(入力設定!$B$7,A191-1)</f>
        <v>51957</v>
      </c>
      <c r="C191" s="80">
        <f>INDEX(入力設定!$C$15:$C$24,INT((A191-1)/60)+1)</f>
        <v>0.04</v>
      </c>
      <c r="D191" s="70">
        <f t="shared" ca="1" si="61"/>
        <v>19313976.05751932</v>
      </c>
      <c r="E191" s="70">
        <f t="shared" ca="1" si="62"/>
        <v>195</v>
      </c>
      <c r="F191" s="70">
        <f ca="1">IF(D191+Z191&lt;0.000001,0,IF(D191&lt;0.000001,F190,IF(OR(AE191=1,AND(K190&gt;0,入力設定!$B$8="返済額軽減型",入力設定!$B$11="翌月")),IF(C191=0,D191/MAX(1,E191),D191*(C191/12)/(1-(1+C191/12)^(-MAX(1,E191)))),F190)))</f>
        <v>134858.23151181499</v>
      </c>
      <c r="G191" s="70">
        <f t="shared" ca="1" si="44"/>
        <v>134858.23151181499</v>
      </c>
      <c r="H191" s="70">
        <f t="shared" ca="1" si="45"/>
        <v>64379.920191731071</v>
      </c>
      <c r="I191" s="70">
        <f t="shared" ca="1" si="46"/>
        <v>70478.311320083914</v>
      </c>
      <c r="J191" s="70">
        <f>SUMIFS(入力設定!$G$5:$G$24,入力設定!$F$5:$F$24,A191)</f>
        <v>0</v>
      </c>
      <c r="K191" s="70">
        <f t="shared" ca="1" si="47"/>
        <v>0</v>
      </c>
      <c r="L191" s="70">
        <f ca="1">IF(K191&gt;0,入力設定!$B$9,0)</f>
        <v>0</v>
      </c>
      <c r="M191" s="70">
        <f t="shared" ca="1" si="48"/>
        <v>19243497.746199235</v>
      </c>
      <c r="N191" s="70">
        <f ca="1">IF(M191+AA191&lt;0.000001,0,IF(AND(K191&gt;0,入力設定!$B$8="期間短縮型",AA191&lt;0.000001,F191&gt;M191*C191/12),MAX(1,MIN(E191-1,IF(C191=0,ROUNDUP(M191/F191,0),ROUNDUP(-LN(1-M191*(C191/12)/F191)/LN(1+C191/12),0)))),MAX(1,E191-1)))</f>
        <v>194</v>
      </c>
      <c r="O191" s="70">
        <f t="shared" ca="1" si="49"/>
        <v>134858.23151181499</v>
      </c>
      <c r="P191" s="70">
        <f t="shared" ca="1" si="63"/>
        <v>22871366.888091777</v>
      </c>
      <c r="Q191" s="70">
        <f ca="1">IF(OR(A191&gt;入力設定!$B$6*12,P191+AC191&lt;0.000001),0,IF(P191&lt;0.000001,Q190,IF(AE191=1,IF(C191=0,P191/MAX(1,入力設定!$B$6*12-A191+1),P191*(C191/12)/(1-(1+C191/12)^(-MAX(1,入力設定!$B$6*12-A191+1)))),Q190)))</f>
        <v>140524.47704383376</v>
      </c>
      <c r="R191" s="70">
        <f ca="1">IF(P191+AC191&lt;0.000001,0,IF(A191=入力設定!$B$6*12,P191+AB191+AC191,MIN(Q191,P191+AB191+AC191)))</f>
        <v>140524.47704383376</v>
      </c>
      <c r="S191" s="70">
        <f t="shared" ca="1" si="50"/>
        <v>76237.889626972596</v>
      </c>
      <c r="T191" s="70">
        <f t="shared" ca="1" si="51"/>
        <v>64286.587416861163</v>
      </c>
      <c r="U191" s="70">
        <f t="shared" ca="1" si="52"/>
        <v>22807080.300674915</v>
      </c>
      <c r="V191" s="70">
        <f t="shared" ca="1" si="53"/>
        <v>0</v>
      </c>
      <c r="W191" s="70">
        <f t="shared" ca="1" si="54"/>
        <v>0</v>
      </c>
      <c r="X191" s="70">
        <f t="shared" ca="1" si="55"/>
        <v>0</v>
      </c>
      <c r="Y191" s="71">
        <f t="shared" ca="1" si="56"/>
        <v>64379.920191731071</v>
      </c>
      <c r="Z191" s="71">
        <f t="shared" ca="1" si="64"/>
        <v>0</v>
      </c>
      <c r="AA191" s="71">
        <f t="shared" ca="1" si="57"/>
        <v>0</v>
      </c>
      <c r="AB191" s="71">
        <f t="shared" ca="1" si="58"/>
        <v>76237.889626972596</v>
      </c>
      <c r="AC191" s="71">
        <f t="shared" ca="1" si="65"/>
        <v>0</v>
      </c>
      <c r="AD191" s="71">
        <f t="shared" ca="1" si="59"/>
        <v>0</v>
      </c>
      <c r="AE191" s="72">
        <f t="shared" si="60"/>
        <v>0</v>
      </c>
      <c r="AF191" s="73">
        <f>IF(A191&gt;入力設定!$B$6*12,0,IF(AND(ISNUMBER(C191),C191&gt;=0,C191&lt;=1),0,1))</f>
        <v>0</v>
      </c>
    </row>
    <row r="192" spans="1:32" ht="21" customHeight="1">
      <c r="A192" s="68">
        <f>187</f>
        <v>187</v>
      </c>
      <c r="B192" s="69">
        <f>EDATE(入力設定!$B$7,A192-1)</f>
        <v>51987</v>
      </c>
      <c r="C192" s="80">
        <f>INDEX(入力設定!$C$15:$C$24,INT((A192-1)/60)+1)</f>
        <v>0.04</v>
      </c>
      <c r="D192" s="70">
        <f t="shared" ca="1" si="61"/>
        <v>19243497.746199235</v>
      </c>
      <c r="E192" s="70">
        <f t="shared" ca="1" si="62"/>
        <v>194</v>
      </c>
      <c r="F192" s="70">
        <f ca="1">IF(D192+Z192&lt;0.000001,0,IF(D192&lt;0.000001,F191,IF(OR(AE192=1,AND(K191&gt;0,入力設定!$B$8="返済額軽減型",入力設定!$B$11="翌月")),IF(C192=0,D192/MAX(1,E192),D192*(C192/12)/(1-(1+C192/12)^(-MAX(1,E192)))),F191)))</f>
        <v>134858.23151181499</v>
      </c>
      <c r="G192" s="70">
        <f t="shared" ca="1" si="44"/>
        <v>134858.23151181499</v>
      </c>
      <c r="H192" s="70">
        <f t="shared" ca="1" si="45"/>
        <v>64144.992487330783</v>
      </c>
      <c r="I192" s="70">
        <f t="shared" ca="1" si="46"/>
        <v>70713.23902448421</v>
      </c>
      <c r="J192" s="70">
        <f>SUMIFS(入力設定!$G$5:$G$24,入力設定!$F$5:$F$24,A192)</f>
        <v>0</v>
      </c>
      <c r="K192" s="70">
        <f t="shared" ca="1" si="47"/>
        <v>0</v>
      </c>
      <c r="L192" s="70">
        <f ca="1">IF(K192&gt;0,入力設定!$B$9,0)</f>
        <v>0</v>
      </c>
      <c r="M192" s="70">
        <f t="shared" ca="1" si="48"/>
        <v>19172784.507174753</v>
      </c>
      <c r="N192" s="70">
        <f ca="1">IF(M192+AA192&lt;0.000001,0,IF(AND(K192&gt;0,入力設定!$B$8="期間短縮型",AA192&lt;0.000001,F192&gt;M192*C192/12),MAX(1,MIN(E192-1,IF(C192=0,ROUNDUP(M192/F192,0),ROUNDUP(-LN(1-M192*(C192/12)/F192)/LN(1+C192/12),0)))),MAX(1,E192-1)))</f>
        <v>193</v>
      </c>
      <c r="O192" s="70">
        <f t="shared" ca="1" si="49"/>
        <v>134858.23151181499</v>
      </c>
      <c r="P192" s="70">
        <f t="shared" ca="1" si="63"/>
        <v>22807080.300674915</v>
      </c>
      <c r="Q192" s="70">
        <f ca="1">IF(OR(A192&gt;入力設定!$B$6*12,P192+AC192&lt;0.000001),0,IF(P192&lt;0.000001,Q191,IF(AE192=1,IF(C192=0,P192/MAX(1,入力設定!$B$6*12-A192+1),P192*(C192/12)/(1-(1+C192/12)^(-MAX(1,入力設定!$B$6*12-A192+1)))),Q191)))</f>
        <v>140524.47704383376</v>
      </c>
      <c r="R192" s="70">
        <f ca="1">IF(P192+AC192&lt;0.000001,0,IF(A192=入力設定!$B$6*12,P192+AB192+AC192,MIN(Q192,P192+AB192+AC192)))</f>
        <v>140524.47704383376</v>
      </c>
      <c r="S192" s="70">
        <f t="shared" ca="1" si="50"/>
        <v>76023.601002249721</v>
      </c>
      <c r="T192" s="70">
        <f t="shared" ca="1" si="51"/>
        <v>64500.876041584037</v>
      </c>
      <c r="U192" s="70">
        <f t="shared" ca="1" si="52"/>
        <v>22742579.424633332</v>
      </c>
      <c r="V192" s="70">
        <f t="shared" ca="1" si="53"/>
        <v>0</v>
      </c>
      <c r="W192" s="70">
        <f t="shared" ca="1" si="54"/>
        <v>0</v>
      </c>
      <c r="X192" s="70">
        <f t="shared" ca="1" si="55"/>
        <v>0</v>
      </c>
      <c r="Y192" s="71">
        <f t="shared" ca="1" si="56"/>
        <v>64144.992487330783</v>
      </c>
      <c r="Z192" s="71">
        <f t="shared" ca="1" si="64"/>
        <v>0</v>
      </c>
      <c r="AA192" s="71">
        <f t="shared" ca="1" si="57"/>
        <v>0</v>
      </c>
      <c r="AB192" s="71">
        <f t="shared" ca="1" si="58"/>
        <v>76023.601002249721</v>
      </c>
      <c r="AC192" s="71">
        <f t="shared" ca="1" si="65"/>
        <v>0</v>
      </c>
      <c r="AD192" s="71">
        <f t="shared" ca="1" si="59"/>
        <v>0</v>
      </c>
      <c r="AE192" s="72">
        <f t="shared" si="60"/>
        <v>0</v>
      </c>
      <c r="AF192" s="73">
        <f>IF(A192&gt;入力設定!$B$6*12,0,IF(AND(ISNUMBER(C192),C192&gt;=0,C192&lt;=1),0,1))</f>
        <v>0</v>
      </c>
    </row>
    <row r="193" spans="1:32" ht="21" customHeight="1">
      <c r="A193" s="68">
        <f>188</f>
        <v>188</v>
      </c>
      <c r="B193" s="69">
        <f>EDATE(入力設定!$B$7,A193-1)</f>
        <v>52018</v>
      </c>
      <c r="C193" s="80">
        <f>INDEX(入力設定!$C$15:$C$24,INT((A193-1)/60)+1)</f>
        <v>0.04</v>
      </c>
      <c r="D193" s="70">
        <f t="shared" ca="1" si="61"/>
        <v>19172784.507174753</v>
      </c>
      <c r="E193" s="70">
        <f t="shared" ca="1" si="62"/>
        <v>193</v>
      </c>
      <c r="F193" s="70">
        <f ca="1">IF(D193+Z193&lt;0.000001,0,IF(D193&lt;0.000001,F192,IF(OR(AE193=1,AND(K192&gt;0,入力設定!$B$8="返済額軽減型",入力設定!$B$11="翌月")),IF(C193=0,D193/MAX(1,E193),D193*(C193/12)/(1-(1+C193/12)^(-MAX(1,E193)))),F192)))</f>
        <v>134858.23151181499</v>
      </c>
      <c r="G193" s="70">
        <f t="shared" ca="1" si="44"/>
        <v>134858.23151181499</v>
      </c>
      <c r="H193" s="70">
        <f t="shared" ca="1" si="45"/>
        <v>63909.281690582509</v>
      </c>
      <c r="I193" s="70">
        <f t="shared" ca="1" si="46"/>
        <v>70948.949821232469</v>
      </c>
      <c r="J193" s="70">
        <f>SUMIFS(入力設定!$G$5:$G$24,入力設定!$F$5:$F$24,A193)</f>
        <v>0</v>
      </c>
      <c r="K193" s="70">
        <f t="shared" ca="1" si="47"/>
        <v>0</v>
      </c>
      <c r="L193" s="70">
        <f ca="1">IF(K193&gt;0,入力設定!$B$9,0)</f>
        <v>0</v>
      </c>
      <c r="M193" s="70">
        <f t="shared" ca="1" si="48"/>
        <v>19101835.557353519</v>
      </c>
      <c r="N193" s="70">
        <f ca="1">IF(M193+AA193&lt;0.000001,0,IF(AND(K193&gt;0,入力設定!$B$8="期間短縮型",AA193&lt;0.000001,F193&gt;M193*C193/12),MAX(1,MIN(E193-1,IF(C193=0,ROUNDUP(M193/F193,0),ROUNDUP(-LN(1-M193*(C193/12)/F193)/LN(1+C193/12),0)))),MAX(1,E193-1)))</f>
        <v>192</v>
      </c>
      <c r="O193" s="70">
        <f t="shared" ca="1" si="49"/>
        <v>134858.23151181499</v>
      </c>
      <c r="P193" s="70">
        <f t="shared" ca="1" si="63"/>
        <v>22742579.424633332</v>
      </c>
      <c r="Q193" s="70">
        <f ca="1">IF(OR(A193&gt;入力設定!$B$6*12,P193+AC193&lt;0.000001),0,IF(P193&lt;0.000001,Q192,IF(AE193=1,IF(C193=0,P193/MAX(1,入力設定!$B$6*12-A193+1),P193*(C193/12)/(1-(1+C193/12)^(-MAX(1,入力設定!$B$6*12-A193+1)))),Q192)))</f>
        <v>140524.47704383376</v>
      </c>
      <c r="R193" s="70">
        <f ca="1">IF(P193+AC193&lt;0.000001,0,IF(A193=入力設定!$B$6*12,P193+AB193+AC193,MIN(Q193,P193+AB193+AC193)))</f>
        <v>140524.47704383376</v>
      </c>
      <c r="S193" s="70">
        <f t="shared" ca="1" si="50"/>
        <v>75808.598082111115</v>
      </c>
      <c r="T193" s="70">
        <f t="shared" ca="1" si="51"/>
        <v>64715.878961722643</v>
      </c>
      <c r="U193" s="70">
        <f t="shared" ca="1" si="52"/>
        <v>22677863.545671608</v>
      </c>
      <c r="V193" s="70">
        <f t="shared" ca="1" si="53"/>
        <v>0</v>
      </c>
      <c r="W193" s="70">
        <f t="shared" ca="1" si="54"/>
        <v>0</v>
      </c>
      <c r="X193" s="70">
        <f t="shared" ca="1" si="55"/>
        <v>0</v>
      </c>
      <c r="Y193" s="71">
        <f t="shared" ca="1" si="56"/>
        <v>63909.281690582509</v>
      </c>
      <c r="Z193" s="71">
        <f t="shared" ca="1" si="64"/>
        <v>0</v>
      </c>
      <c r="AA193" s="71">
        <f t="shared" ca="1" si="57"/>
        <v>0</v>
      </c>
      <c r="AB193" s="71">
        <f t="shared" ca="1" si="58"/>
        <v>75808.598082111115</v>
      </c>
      <c r="AC193" s="71">
        <f t="shared" ca="1" si="65"/>
        <v>0</v>
      </c>
      <c r="AD193" s="71">
        <f t="shared" ca="1" si="59"/>
        <v>0</v>
      </c>
      <c r="AE193" s="72">
        <f t="shared" si="60"/>
        <v>0</v>
      </c>
      <c r="AF193" s="73">
        <f>IF(A193&gt;入力設定!$B$6*12,0,IF(AND(ISNUMBER(C193),C193&gt;=0,C193&lt;=1),0,1))</f>
        <v>0</v>
      </c>
    </row>
    <row r="194" spans="1:32" ht="21" customHeight="1">
      <c r="A194" s="68">
        <f>189</f>
        <v>189</v>
      </c>
      <c r="B194" s="69">
        <f>EDATE(入力設定!$B$7,A194-1)</f>
        <v>52048</v>
      </c>
      <c r="C194" s="80">
        <f>INDEX(入力設定!$C$15:$C$24,INT((A194-1)/60)+1)</f>
        <v>0.04</v>
      </c>
      <c r="D194" s="70">
        <f t="shared" ca="1" si="61"/>
        <v>19101835.557353519</v>
      </c>
      <c r="E194" s="70">
        <f t="shared" ca="1" si="62"/>
        <v>192</v>
      </c>
      <c r="F194" s="70">
        <f ca="1">IF(D194+Z194&lt;0.000001,0,IF(D194&lt;0.000001,F193,IF(OR(AE194=1,AND(K193&gt;0,入力設定!$B$8="返済額軽減型",入力設定!$B$11="翌月")),IF(C194=0,D194/MAX(1,E194),D194*(C194/12)/(1-(1+C194/12)^(-MAX(1,E194)))),F193)))</f>
        <v>134858.23151181499</v>
      </c>
      <c r="G194" s="70">
        <f t="shared" ca="1" si="44"/>
        <v>134858.23151181499</v>
      </c>
      <c r="H194" s="70">
        <f t="shared" ca="1" si="45"/>
        <v>63672.785191178402</v>
      </c>
      <c r="I194" s="70">
        <f t="shared" ca="1" si="46"/>
        <v>71185.446320636576</v>
      </c>
      <c r="J194" s="70">
        <f>SUMIFS(入力設定!$G$5:$G$24,入力設定!$F$5:$F$24,A194)</f>
        <v>0</v>
      </c>
      <c r="K194" s="70">
        <f t="shared" ca="1" si="47"/>
        <v>0</v>
      </c>
      <c r="L194" s="70">
        <f ca="1">IF(K194&gt;0,入力設定!$B$9,0)</f>
        <v>0</v>
      </c>
      <c r="M194" s="70">
        <f t="shared" ca="1" si="48"/>
        <v>19030650.111032881</v>
      </c>
      <c r="N194" s="70">
        <f ca="1">IF(M194+AA194&lt;0.000001,0,IF(AND(K194&gt;0,入力設定!$B$8="期間短縮型",AA194&lt;0.000001,F194&gt;M194*C194/12),MAX(1,MIN(E194-1,IF(C194=0,ROUNDUP(M194/F194,0),ROUNDUP(-LN(1-M194*(C194/12)/F194)/LN(1+C194/12),0)))),MAX(1,E194-1)))</f>
        <v>191</v>
      </c>
      <c r="O194" s="70">
        <f t="shared" ca="1" si="49"/>
        <v>134858.23151181499</v>
      </c>
      <c r="P194" s="70">
        <f t="shared" ca="1" si="63"/>
        <v>22677863.545671608</v>
      </c>
      <c r="Q194" s="70">
        <f ca="1">IF(OR(A194&gt;入力設定!$B$6*12,P194+AC194&lt;0.000001),0,IF(P194&lt;0.000001,Q193,IF(AE194=1,IF(C194=0,P194/MAX(1,入力設定!$B$6*12-A194+1),P194*(C194/12)/(1-(1+C194/12)^(-MAX(1,入力設定!$B$6*12-A194+1)))),Q193)))</f>
        <v>140524.47704383376</v>
      </c>
      <c r="R194" s="70">
        <f ca="1">IF(P194+AC194&lt;0.000001,0,IF(A194=入力設定!$B$6*12,P194+AB194+AC194,MIN(Q194,P194+AB194+AC194)))</f>
        <v>140524.47704383376</v>
      </c>
      <c r="S194" s="70">
        <f t="shared" ca="1" si="50"/>
        <v>75592.87848557203</v>
      </c>
      <c r="T194" s="70">
        <f t="shared" ca="1" si="51"/>
        <v>64931.598558261729</v>
      </c>
      <c r="U194" s="70">
        <f t="shared" ca="1" si="52"/>
        <v>22612931.947113346</v>
      </c>
      <c r="V194" s="70">
        <f t="shared" ca="1" si="53"/>
        <v>0</v>
      </c>
      <c r="W194" s="70">
        <f t="shared" ca="1" si="54"/>
        <v>0</v>
      </c>
      <c r="X194" s="70">
        <f t="shared" ca="1" si="55"/>
        <v>0</v>
      </c>
      <c r="Y194" s="71">
        <f t="shared" ca="1" si="56"/>
        <v>63672.785191178402</v>
      </c>
      <c r="Z194" s="71">
        <f t="shared" ca="1" si="64"/>
        <v>0</v>
      </c>
      <c r="AA194" s="71">
        <f t="shared" ca="1" si="57"/>
        <v>0</v>
      </c>
      <c r="AB194" s="71">
        <f t="shared" ca="1" si="58"/>
        <v>75592.87848557203</v>
      </c>
      <c r="AC194" s="71">
        <f t="shared" ca="1" si="65"/>
        <v>0</v>
      </c>
      <c r="AD194" s="71">
        <f t="shared" ca="1" si="59"/>
        <v>0</v>
      </c>
      <c r="AE194" s="72">
        <f t="shared" si="60"/>
        <v>0</v>
      </c>
      <c r="AF194" s="73">
        <f>IF(A194&gt;入力設定!$B$6*12,0,IF(AND(ISNUMBER(C194),C194&gt;=0,C194&lt;=1),0,1))</f>
        <v>0</v>
      </c>
    </row>
    <row r="195" spans="1:32" ht="21" customHeight="1">
      <c r="A195" s="68">
        <f>190</f>
        <v>190</v>
      </c>
      <c r="B195" s="69">
        <f>EDATE(入力設定!$B$7,A195-1)</f>
        <v>52079</v>
      </c>
      <c r="C195" s="80">
        <f>INDEX(入力設定!$C$15:$C$24,INT((A195-1)/60)+1)</f>
        <v>0.04</v>
      </c>
      <c r="D195" s="70">
        <f t="shared" ca="1" si="61"/>
        <v>19030650.111032881</v>
      </c>
      <c r="E195" s="70">
        <f t="shared" ca="1" si="62"/>
        <v>191</v>
      </c>
      <c r="F195" s="70">
        <f ca="1">IF(D195+Z195&lt;0.000001,0,IF(D195&lt;0.000001,F194,IF(OR(AE195=1,AND(K194&gt;0,入力設定!$B$8="返済額軽減型",入力設定!$B$11="翌月")),IF(C195=0,D195/MAX(1,E195),D195*(C195/12)/(1-(1+C195/12)^(-MAX(1,E195)))),F194)))</f>
        <v>134858.23151181499</v>
      </c>
      <c r="G195" s="70">
        <f t="shared" ca="1" si="44"/>
        <v>134858.23151181499</v>
      </c>
      <c r="H195" s="70">
        <f t="shared" ca="1" si="45"/>
        <v>63435.500370109599</v>
      </c>
      <c r="I195" s="70">
        <f t="shared" ca="1" si="46"/>
        <v>71422.731141705386</v>
      </c>
      <c r="J195" s="70">
        <f>SUMIFS(入力設定!$G$5:$G$24,入力設定!$F$5:$F$24,A195)</f>
        <v>0</v>
      </c>
      <c r="K195" s="70">
        <f t="shared" ca="1" si="47"/>
        <v>0</v>
      </c>
      <c r="L195" s="70">
        <f ca="1">IF(K195&gt;0,入力設定!$B$9,0)</f>
        <v>0</v>
      </c>
      <c r="M195" s="70">
        <f t="shared" ca="1" si="48"/>
        <v>18959227.379891176</v>
      </c>
      <c r="N195" s="70">
        <f ca="1">IF(M195+AA195&lt;0.000001,0,IF(AND(K195&gt;0,入力設定!$B$8="期間短縮型",AA195&lt;0.000001,F195&gt;M195*C195/12),MAX(1,MIN(E195-1,IF(C195=0,ROUNDUP(M195/F195,0),ROUNDUP(-LN(1-M195*(C195/12)/F195)/LN(1+C195/12),0)))),MAX(1,E195-1)))</f>
        <v>190</v>
      </c>
      <c r="O195" s="70">
        <f t="shared" ca="1" si="49"/>
        <v>134858.23151181499</v>
      </c>
      <c r="P195" s="70">
        <f t="shared" ca="1" si="63"/>
        <v>22612931.947113346</v>
      </c>
      <c r="Q195" s="70">
        <f ca="1">IF(OR(A195&gt;入力設定!$B$6*12,P195+AC195&lt;0.000001),0,IF(P195&lt;0.000001,Q194,IF(AE195=1,IF(C195=0,P195/MAX(1,入力設定!$B$6*12-A195+1),P195*(C195/12)/(1-(1+C195/12)^(-MAX(1,入力設定!$B$6*12-A195+1)))),Q194)))</f>
        <v>140524.47704383376</v>
      </c>
      <c r="R195" s="70">
        <f ca="1">IF(P195+AC195&lt;0.000001,0,IF(A195=入力設定!$B$6*12,P195+AB195+AC195,MIN(Q195,P195+AB195+AC195)))</f>
        <v>140524.47704383376</v>
      </c>
      <c r="S195" s="70">
        <f t="shared" ca="1" si="50"/>
        <v>75376.43982371116</v>
      </c>
      <c r="T195" s="70">
        <f t="shared" ca="1" si="51"/>
        <v>65148.037220122598</v>
      </c>
      <c r="U195" s="70">
        <f t="shared" ca="1" si="52"/>
        <v>22547783.909893222</v>
      </c>
      <c r="V195" s="70">
        <f t="shared" ca="1" si="53"/>
        <v>0</v>
      </c>
      <c r="W195" s="70">
        <f t="shared" ca="1" si="54"/>
        <v>0</v>
      </c>
      <c r="X195" s="70">
        <f t="shared" ca="1" si="55"/>
        <v>0</v>
      </c>
      <c r="Y195" s="71">
        <f t="shared" ca="1" si="56"/>
        <v>63435.500370109599</v>
      </c>
      <c r="Z195" s="71">
        <f t="shared" ca="1" si="64"/>
        <v>0</v>
      </c>
      <c r="AA195" s="71">
        <f t="shared" ca="1" si="57"/>
        <v>0</v>
      </c>
      <c r="AB195" s="71">
        <f t="shared" ca="1" si="58"/>
        <v>75376.43982371116</v>
      </c>
      <c r="AC195" s="71">
        <f t="shared" ca="1" si="65"/>
        <v>0</v>
      </c>
      <c r="AD195" s="71">
        <f t="shared" ca="1" si="59"/>
        <v>0</v>
      </c>
      <c r="AE195" s="72">
        <f t="shared" si="60"/>
        <v>0</v>
      </c>
      <c r="AF195" s="73">
        <f>IF(A195&gt;入力設定!$B$6*12,0,IF(AND(ISNUMBER(C195),C195&gt;=0,C195&lt;=1),0,1))</f>
        <v>0</v>
      </c>
    </row>
    <row r="196" spans="1:32" ht="21" customHeight="1">
      <c r="A196" s="68">
        <f>191</f>
        <v>191</v>
      </c>
      <c r="B196" s="69">
        <f>EDATE(入力設定!$B$7,A196-1)</f>
        <v>52110</v>
      </c>
      <c r="C196" s="80">
        <f>INDEX(入力設定!$C$15:$C$24,INT((A196-1)/60)+1)</f>
        <v>0.04</v>
      </c>
      <c r="D196" s="70">
        <f t="shared" ca="1" si="61"/>
        <v>18959227.379891176</v>
      </c>
      <c r="E196" s="70">
        <f t="shared" ca="1" si="62"/>
        <v>190</v>
      </c>
      <c r="F196" s="70">
        <f ca="1">IF(D196+Z196&lt;0.000001,0,IF(D196&lt;0.000001,F195,IF(OR(AE196=1,AND(K195&gt;0,入力設定!$B$8="返済額軽減型",入力設定!$B$11="翌月")),IF(C196=0,D196/MAX(1,E196),D196*(C196/12)/(1-(1+C196/12)^(-MAX(1,E196)))),F195)))</f>
        <v>134858.23151181499</v>
      </c>
      <c r="G196" s="70">
        <f t="shared" ca="1" si="44"/>
        <v>134858.23151181499</v>
      </c>
      <c r="H196" s="70">
        <f t="shared" ca="1" si="45"/>
        <v>63197.424599637256</v>
      </c>
      <c r="I196" s="70">
        <f t="shared" ca="1" si="46"/>
        <v>71660.806912177737</v>
      </c>
      <c r="J196" s="70">
        <f>SUMIFS(入力設定!$G$5:$G$24,入力設定!$F$5:$F$24,A196)</f>
        <v>0</v>
      </c>
      <c r="K196" s="70">
        <f t="shared" ca="1" si="47"/>
        <v>0</v>
      </c>
      <c r="L196" s="70">
        <f ca="1">IF(K196&gt;0,入力設定!$B$9,0)</f>
        <v>0</v>
      </c>
      <c r="M196" s="70">
        <f t="shared" ca="1" si="48"/>
        <v>18887566.572978999</v>
      </c>
      <c r="N196" s="70">
        <f ca="1">IF(M196+AA196&lt;0.000001,0,IF(AND(K196&gt;0,入力設定!$B$8="期間短縮型",AA196&lt;0.000001,F196&gt;M196*C196/12),MAX(1,MIN(E196-1,IF(C196=0,ROUNDUP(M196/F196,0),ROUNDUP(-LN(1-M196*(C196/12)/F196)/LN(1+C196/12),0)))),MAX(1,E196-1)))</f>
        <v>189</v>
      </c>
      <c r="O196" s="70">
        <f t="shared" ca="1" si="49"/>
        <v>134858.23151181499</v>
      </c>
      <c r="P196" s="70">
        <f t="shared" ca="1" si="63"/>
        <v>22547783.909893222</v>
      </c>
      <c r="Q196" s="70">
        <f ca="1">IF(OR(A196&gt;入力設定!$B$6*12,P196+AC196&lt;0.000001),0,IF(P196&lt;0.000001,Q195,IF(AE196=1,IF(C196=0,P196/MAX(1,入力設定!$B$6*12-A196+1),P196*(C196/12)/(1-(1+C196/12)^(-MAX(1,入力設定!$B$6*12-A196+1)))),Q195)))</f>
        <v>140524.47704383376</v>
      </c>
      <c r="R196" s="70">
        <f ca="1">IF(P196+AC196&lt;0.000001,0,IF(A196=入力設定!$B$6*12,P196+AB196+AC196,MIN(Q196,P196+AB196+AC196)))</f>
        <v>140524.47704383376</v>
      </c>
      <c r="S196" s="70">
        <f t="shared" ca="1" si="50"/>
        <v>75159.279699644074</v>
      </c>
      <c r="T196" s="70">
        <f t="shared" ca="1" si="51"/>
        <v>65365.197344189684</v>
      </c>
      <c r="U196" s="70">
        <f t="shared" ca="1" si="52"/>
        <v>22482418.712549031</v>
      </c>
      <c r="V196" s="70">
        <f t="shared" ca="1" si="53"/>
        <v>0</v>
      </c>
      <c r="W196" s="70">
        <f t="shared" ca="1" si="54"/>
        <v>0</v>
      </c>
      <c r="X196" s="70">
        <f t="shared" ca="1" si="55"/>
        <v>0</v>
      </c>
      <c r="Y196" s="71">
        <f t="shared" ca="1" si="56"/>
        <v>63197.424599637256</v>
      </c>
      <c r="Z196" s="71">
        <f t="shared" ca="1" si="64"/>
        <v>0</v>
      </c>
      <c r="AA196" s="71">
        <f t="shared" ca="1" si="57"/>
        <v>0</v>
      </c>
      <c r="AB196" s="71">
        <f t="shared" ca="1" si="58"/>
        <v>75159.279699644074</v>
      </c>
      <c r="AC196" s="71">
        <f t="shared" ca="1" si="65"/>
        <v>0</v>
      </c>
      <c r="AD196" s="71">
        <f t="shared" ca="1" si="59"/>
        <v>0</v>
      </c>
      <c r="AE196" s="72">
        <f t="shared" si="60"/>
        <v>0</v>
      </c>
      <c r="AF196" s="73">
        <f>IF(A196&gt;入力設定!$B$6*12,0,IF(AND(ISNUMBER(C196),C196&gt;=0,C196&lt;=1),0,1))</f>
        <v>0</v>
      </c>
    </row>
    <row r="197" spans="1:32" ht="21" customHeight="1">
      <c r="A197" s="68">
        <f>192</f>
        <v>192</v>
      </c>
      <c r="B197" s="69">
        <f>EDATE(入力設定!$B$7,A197-1)</f>
        <v>52140</v>
      </c>
      <c r="C197" s="80">
        <f>INDEX(入力設定!$C$15:$C$24,INT((A197-1)/60)+1)</f>
        <v>0.04</v>
      </c>
      <c r="D197" s="70">
        <f t="shared" ca="1" si="61"/>
        <v>18887566.572978999</v>
      </c>
      <c r="E197" s="70">
        <f t="shared" ca="1" si="62"/>
        <v>189</v>
      </c>
      <c r="F197" s="70">
        <f ca="1">IF(D197+Z197&lt;0.000001,0,IF(D197&lt;0.000001,F196,IF(OR(AE197=1,AND(K196&gt;0,入力設定!$B$8="返済額軽減型",入力設定!$B$11="翌月")),IF(C197=0,D197/MAX(1,E197),D197*(C197/12)/(1-(1+C197/12)^(-MAX(1,E197)))),F196)))</f>
        <v>134858.23151181499</v>
      </c>
      <c r="G197" s="70">
        <f t="shared" ca="1" si="44"/>
        <v>134858.23151181499</v>
      </c>
      <c r="H197" s="70">
        <f t="shared" ca="1" si="45"/>
        <v>62958.555243263334</v>
      </c>
      <c r="I197" s="70">
        <f t="shared" ca="1" si="46"/>
        <v>71899.676268551644</v>
      </c>
      <c r="J197" s="70">
        <f>SUMIFS(入力設定!$G$5:$G$24,入力設定!$F$5:$F$24,A197)</f>
        <v>0</v>
      </c>
      <c r="K197" s="70">
        <f t="shared" ca="1" si="47"/>
        <v>0</v>
      </c>
      <c r="L197" s="70">
        <f ca="1">IF(K197&gt;0,入力設定!$B$9,0)</f>
        <v>0</v>
      </c>
      <c r="M197" s="70">
        <f t="shared" ca="1" si="48"/>
        <v>18815666.896710448</v>
      </c>
      <c r="N197" s="70">
        <f ca="1">IF(M197+AA197&lt;0.000001,0,IF(AND(K197&gt;0,入力設定!$B$8="期間短縮型",AA197&lt;0.000001,F197&gt;M197*C197/12),MAX(1,MIN(E197-1,IF(C197=0,ROUNDUP(M197/F197,0),ROUNDUP(-LN(1-M197*(C197/12)/F197)/LN(1+C197/12),0)))),MAX(1,E197-1)))</f>
        <v>188</v>
      </c>
      <c r="O197" s="70">
        <f t="shared" ca="1" si="49"/>
        <v>134858.23151181499</v>
      </c>
      <c r="P197" s="70">
        <f t="shared" ca="1" si="63"/>
        <v>22482418.712549031</v>
      </c>
      <c r="Q197" s="70">
        <f ca="1">IF(OR(A197&gt;入力設定!$B$6*12,P197+AC197&lt;0.000001),0,IF(P197&lt;0.000001,Q196,IF(AE197=1,IF(C197=0,P197/MAX(1,入力設定!$B$6*12-A197+1),P197*(C197/12)/(1-(1+C197/12)^(-MAX(1,入力設定!$B$6*12-A197+1)))),Q196)))</f>
        <v>140524.47704383376</v>
      </c>
      <c r="R197" s="70">
        <f ca="1">IF(P197+AC197&lt;0.000001,0,IF(A197=入力設定!$B$6*12,P197+AB197+AC197,MIN(Q197,P197+AB197+AC197)))</f>
        <v>140524.47704383376</v>
      </c>
      <c r="S197" s="70">
        <f t="shared" ca="1" si="50"/>
        <v>74941.39570849677</v>
      </c>
      <c r="T197" s="70">
        <f t="shared" ca="1" si="51"/>
        <v>65583.081335336989</v>
      </c>
      <c r="U197" s="70">
        <f t="shared" ca="1" si="52"/>
        <v>22416835.631213695</v>
      </c>
      <c r="V197" s="70">
        <f t="shared" ca="1" si="53"/>
        <v>0</v>
      </c>
      <c r="W197" s="70">
        <f t="shared" ca="1" si="54"/>
        <v>0</v>
      </c>
      <c r="X197" s="70">
        <f t="shared" ca="1" si="55"/>
        <v>0</v>
      </c>
      <c r="Y197" s="71">
        <f t="shared" ca="1" si="56"/>
        <v>62958.555243263334</v>
      </c>
      <c r="Z197" s="71">
        <f t="shared" ca="1" si="64"/>
        <v>0</v>
      </c>
      <c r="AA197" s="71">
        <f t="shared" ca="1" si="57"/>
        <v>0</v>
      </c>
      <c r="AB197" s="71">
        <f t="shared" ca="1" si="58"/>
        <v>74941.39570849677</v>
      </c>
      <c r="AC197" s="71">
        <f t="shared" ca="1" si="65"/>
        <v>0</v>
      </c>
      <c r="AD197" s="71">
        <f t="shared" ca="1" si="59"/>
        <v>0</v>
      </c>
      <c r="AE197" s="72">
        <f t="shared" si="60"/>
        <v>0</v>
      </c>
      <c r="AF197" s="73">
        <f>IF(A197&gt;入力設定!$B$6*12,0,IF(AND(ISNUMBER(C197),C197&gt;=0,C197&lt;=1),0,1))</f>
        <v>0</v>
      </c>
    </row>
    <row r="198" spans="1:32" ht="21" customHeight="1">
      <c r="A198" s="68">
        <f>193</f>
        <v>193</v>
      </c>
      <c r="B198" s="69">
        <f>EDATE(入力設定!$B$7,A198-1)</f>
        <v>52171</v>
      </c>
      <c r="C198" s="80">
        <f>INDEX(入力設定!$C$15:$C$24,INT((A198-1)/60)+1)</f>
        <v>0.04</v>
      </c>
      <c r="D198" s="70">
        <f t="shared" ca="1" si="61"/>
        <v>18815666.896710448</v>
      </c>
      <c r="E198" s="70">
        <f t="shared" ca="1" si="62"/>
        <v>188</v>
      </c>
      <c r="F198" s="70">
        <f ca="1">IF(D198+Z198&lt;0.000001,0,IF(D198&lt;0.000001,F197,IF(OR(AE198=1,AND(K197&gt;0,入力設定!$B$8="返済額軽減型",入力設定!$B$11="翌月")),IF(C198=0,D198/MAX(1,E198),D198*(C198/12)/(1-(1+C198/12)^(-MAX(1,E198)))),F197)))</f>
        <v>134858.23151181499</v>
      </c>
      <c r="G198" s="70">
        <f t="shared" ref="G198:G261" ca="1" si="66">IF(D198+Z198&lt;0.000001,0,IF(E198&lt;=1,D198+Y198+Z198,MIN(D198+Y198+Z198,F198)))</f>
        <v>134858.23151181499</v>
      </c>
      <c r="H198" s="70">
        <f t="shared" ref="H198:H261" ca="1" si="67">MIN(G198,Y198+Z198)</f>
        <v>62718.889655701496</v>
      </c>
      <c r="I198" s="70">
        <f t="shared" ref="I198:I261" ca="1" si="68">G198-H198</f>
        <v>72139.341856113489</v>
      </c>
      <c r="J198" s="70">
        <f>SUMIFS(入力設定!$G$5:$G$24,入力設定!$F$5:$F$24,A198)</f>
        <v>0</v>
      </c>
      <c r="K198" s="70">
        <f t="shared" ref="K198:K261" ca="1" si="69">MIN(MAX(0,D198-I198),J198)</f>
        <v>0</v>
      </c>
      <c r="L198" s="70">
        <f ca="1">IF(K198&gt;0,入力設定!$B$9,0)</f>
        <v>0</v>
      </c>
      <c r="M198" s="70">
        <f t="shared" ref="M198:M261" ca="1" si="70">MAX(0,D198-I198-K198)</f>
        <v>18743527.554854333</v>
      </c>
      <c r="N198" s="70">
        <f ca="1">IF(M198+AA198&lt;0.000001,0,IF(AND(K198&gt;0,入力設定!$B$8="期間短縮型",AA198&lt;0.000001,F198&gt;M198*C198/12),MAX(1,MIN(E198-1,IF(C198=0,ROUNDUP(M198/F198,0),ROUNDUP(-LN(1-M198*(C198/12)/F198)/LN(1+C198/12),0)))),MAX(1,E198-1)))</f>
        <v>187</v>
      </c>
      <c r="O198" s="70">
        <f t="shared" ref="O198:O261" ca="1" si="71">SUM(G198,K198,L198)</f>
        <v>134858.23151181499</v>
      </c>
      <c r="P198" s="70">
        <f t="shared" ca="1" si="63"/>
        <v>22416835.631213695</v>
      </c>
      <c r="Q198" s="70">
        <f ca="1">IF(OR(A198&gt;入力設定!$B$6*12,P198+AC198&lt;0.000001),0,IF(P198&lt;0.000001,Q197,IF(AE198=1,IF(C198=0,P198/MAX(1,入力設定!$B$6*12-A198+1),P198*(C198/12)/(1-(1+C198/12)^(-MAX(1,入力設定!$B$6*12-A198+1)))),Q197)))</f>
        <v>140524.47704383376</v>
      </c>
      <c r="R198" s="70">
        <f ca="1">IF(P198+AC198&lt;0.000001,0,IF(A198=入力設定!$B$6*12,P198+AB198+AC198,MIN(Q198,P198+AB198+AC198)))</f>
        <v>140524.47704383376</v>
      </c>
      <c r="S198" s="70">
        <f t="shared" ref="S198:S261" ca="1" si="72">MIN(R198,AB198+AC198)</f>
        <v>74722.785437378989</v>
      </c>
      <c r="T198" s="70">
        <f t="shared" ref="T198:T261" ca="1" si="73">R198-S198</f>
        <v>65801.691606454769</v>
      </c>
      <c r="U198" s="70">
        <f t="shared" ref="U198:U261" ca="1" si="74">MAX(0,P198-T198)</f>
        <v>22351033.93960724</v>
      </c>
      <c r="V198" s="70">
        <f t="shared" ref="V198:V261" ca="1" si="75">D198-I198-K198-M198</f>
        <v>0</v>
      </c>
      <c r="W198" s="70">
        <f t="shared" ref="W198:W261" ca="1" si="76">P198-T198-U198</f>
        <v>0</v>
      </c>
      <c r="X198" s="70">
        <f t="shared" ref="X198:X261" ca="1" si="77">O198-G198-K198-L198</f>
        <v>0</v>
      </c>
      <c r="Y198" s="71">
        <f t="shared" ref="Y198:Y261" ca="1" si="78">D198*C198/12</f>
        <v>62718.889655701496</v>
      </c>
      <c r="Z198" s="71">
        <f t="shared" ca="1" si="64"/>
        <v>0</v>
      </c>
      <c r="AA198" s="71">
        <f t="shared" ref="AA198:AA261" ca="1" si="79">MAX(0,Z198+Y198-H198)</f>
        <v>0</v>
      </c>
      <c r="AB198" s="71">
        <f t="shared" ref="AB198:AB261" ca="1" si="80">P198*C198/12</f>
        <v>74722.785437378989</v>
      </c>
      <c r="AC198" s="71">
        <f t="shared" ca="1" si="65"/>
        <v>0</v>
      </c>
      <c r="AD198" s="71">
        <f t="shared" ref="AD198:AD261" ca="1" si="81">MAX(0,AC198+AB198-S198)</f>
        <v>0</v>
      </c>
      <c r="AE198" s="72">
        <f t="shared" ref="AE198:AE261" si="82">IF(MOD(A198-1,60)=0,1,0)</f>
        <v>0</v>
      </c>
      <c r="AF198" s="73">
        <f>IF(A198&gt;入力設定!$B$6*12,0,IF(AND(ISNUMBER(C198),C198&gt;=0,C198&lt;=1),0,1))</f>
        <v>0</v>
      </c>
    </row>
    <row r="199" spans="1:32" ht="21" customHeight="1">
      <c r="A199" s="68">
        <f>194</f>
        <v>194</v>
      </c>
      <c r="B199" s="69">
        <f>EDATE(入力設定!$B$7,A199-1)</f>
        <v>52201</v>
      </c>
      <c r="C199" s="80">
        <f>INDEX(入力設定!$C$15:$C$24,INT((A199-1)/60)+1)</f>
        <v>0.04</v>
      </c>
      <c r="D199" s="70">
        <f t="shared" ref="D199:D262" ca="1" si="83">M198</f>
        <v>18743527.554854333</v>
      </c>
      <c r="E199" s="70">
        <f t="shared" ref="E199:E262" ca="1" si="84">N198</f>
        <v>187</v>
      </c>
      <c r="F199" s="70">
        <f ca="1">IF(D199+Z199&lt;0.000001,0,IF(D199&lt;0.000001,F198,IF(OR(AE199=1,AND(K198&gt;0,入力設定!$B$8="返済額軽減型",入力設定!$B$11="翌月")),IF(C199=0,D199/MAX(1,E199),D199*(C199/12)/(1-(1+C199/12)^(-MAX(1,E199)))),F198)))</f>
        <v>134858.23151181499</v>
      </c>
      <c r="G199" s="70">
        <f t="shared" ca="1" si="66"/>
        <v>134858.23151181499</v>
      </c>
      <c r="H199" s="70">
        <f t="shared" ca="1" si="67"/>
        <v>62478.425182847779</v>
      </c>
      <c r="I199" s="70">
        <f t="shared" ca="1" si="68"/>
        <v>72379.806328967214</v>
      </c>
      <c r="J199" s="70">
        <f>SUMIFS(入力設定!$G$5:$G$24,入力設定!$F$5:$F$24,A199)</f>
        <v>0</v>
      </c>
      <c r="K199" s="70">
        <f t="shared" ca="1" si="69"/>
        <v>0</v>
      </c>
      <c r="L199" s="70">
        <f ca="1">IF(K199&gt;0,入力設定!$B$9,0)</f>
        <v>0</v>
      </c>
      <c r="M199" s="70">
        <f t="shared" ca="1" si="70"/>
        <v>18671147.748525366</v>
      </c>
      <c r="N199" s="70">
        <f ca="1">IF(M199+AA199&lt;0.000001,0,IF(AND(K199&gt;0,入力設定!$B$8="期間短縮型",AA199&lt;0.000001,F199&gt;M199*C199/12),MAX(1,MIN(E199-1,IF(C199=0,ROUNDUP(M199/F199,0),ROUNDUP(-LN(1-M199*(C199/12)/F199)/LN(1+C199/12),0)))),MAX(1,E199-1)))</f>
        <v>186</v>
      </c>
      <c r="O199" s="70">
        <f t="shared" ca="1" si="71"/>
        <v>134858.23151181499</v>
      </c>
      <c r="P199" s="70">
        <f t="shared" ref="P199:P262" ca="1" si="85">U198</f>
        <v>22351033.93960724</v>
      </c>
      <c r="Q199" s="70">
        <f ca="1">IF(OR(A199&gt;入力設定!$B$6*12,P199+AC199&lt;0.000001),0,IF(P199&lt;0.000001,Q198,IF(AE199=1,IF(C199=0,P199/MAX(1,入力設定!$B$6*12-A199+1),P199*(C199/12)/(1-(1+C199/12)^(-MAX(1,入力設定!$B$6*12-A199+1)))),Q198)))</f>
        <v>140524.47704383376</v>
      </c>
      <c r="R199" s="70">
        <f ca="1">IF(P199+AC199&lt;0.000001,0,IF(A199=入力設定!$B$6*12,P199+AB199+AC199,MIN(Q199,P199+AB199+AC199)))</f>
        <v>140524.47704383376</v>
      </c>
      <c r="S199" s="70">
        <f t="shared" ca="1" si="72"/>
        <v>74503.446465357469</v>
      </c>
      <c r="T199" s="70">
        <f t="shared" ca="1" si="73"/>
        <v>66021.03057847629</v>
      </c>
      <c r="U199" s="70">
        <f t="shared" ca="1" si="74"/>
        <v>22285012.909028765</v>
      </c>
      <c r="V199" s="70">
        <f t="shared" ca="1" si="75"/>
        <v>0</v>
      </c>
      <c r="W199" s="70">
        <f t="shared" ca="1" si="76"/>
        <v>0</v>
      </c>
      <c r="X199" s="70">
        <f t="shared" ca="1" si="77"/>
        <v>0</v>
      </c>
      <c r="Y199" s="71">
        <f t="shared" ca="1" si="78"/>
        <v>62478.425182847779</v>
      </c>
      <c r="Z199" s="71">
        <f t="shared" ref="Z199:Z262" ca="1" si="86">AA198</f>
        <v>0</v>
      </c>
      <c r="AA199" s="71">
        <f t="shared" ca="1" si="79"/>
        <v>0</v>
      </c>
      <c r="AB199" s="71">
        <f t="shared" ca="1" si="80"/>
        <v>74503.446465357469</v>
      </c>
      <c r="AC199" s="71">
        <f t="shared" ref="AC199:AC262" ca="1" si="87">AD198</f>
        <v>0</v>
      </c>
      <c r="AD199" s="71">
        <f t="shared" ca="1" si="81"/>
        <v>0</v>
      </c>
      <c r="AE199" s="72">
        <f t="shared" si="82"/>
        <v>0</v>
      </c>
      <c r="AF199" s="73">
        <f>IF(A199&gt;入力設定!$B$6*12,0,IF(AND(ISNUMBER(C199),C199&gt;=0,C199&lt;=1),0,1))</f>
        <v>0</v>
      </c>
    </row>
    <row r="200" spans="1:32" ht="21" customHeight="1">
      <c r="A200" s="68">
        <f>195</f>
        <v>195</v>
      </c>
      <c r="B200" s="69">
        <f>EDATE(入力設定!$B$7,A200-1)</f>
        <v>52232</v>
      </c>
      <c r="C200" s="80">
        <f>INDEX(入力設定!$C$15:$C$24,INT((A200-1)/60)+1)</f>
        <v>0.04</v>
      </c>
      <c r="D200" s="70">
        <f t="shared" ca="1" si="83"/>
        <v>18671147.748525366</v>
      </c>
      <c r="E200" s="70">
        <f t="shared" ca="1" si="84"/>
        <v>186</v>
      </c>
      <c r="F200" s="70">
        <f ca="1">IF(D200+Z200&lt;0.000001,0,IF(D200&lt;0.000001,F199,IF(OR(AE200=1,AND(K199&gt;0,入力設定!$B$8="返済額軽減型",入力設定!$B$11="翌月")),IF(C200=0,D200/MAX(1,E200),D200*(C200/12)/(1-(1+C200/12)^(-MAX(1,E200)))),F199)))</f>
        <v>134858.23151181499</v>
      </c>
      <c r="G200" s="70">
        <f t="shared" ca="1" si="66"/>
        <v>134858.23151181499</v>
      </c>
      <c r="H200" s="70">
        <f t="shared" ca="1" si="67"/>
        <v>62237.159161751224</v>
      </c>
      <c r="I200" s="70">
        <f t="shared" ca="1" si="68"/>
        <v>72621.072350063769</v>
      </c>
      <c r="J200" s="70">
        <f>SUMIFS(入力設定!$G$5:$G$24,入力設定!$F$5:$F$24,A200)</f>
        <v>0</v>
      </c>
      <c r="K200" s="70">
        <f t="shared" ca="1" si="69"/>
        <v>0</v>
      </c>
      <c r="L200" s="70">
        <f ca="1">IF(K200&gt;0,入力設定!$B$9,0)</f>
        <v>0</v>
      </c>
      <c r="M200" s="70">
        <f t="shared" ca="1" si="70"/>
        <v>18598526.676175304</v>
      </c>
      <c r="N200" s="70">
        <f ca="1">IF(M200+AA200&lt;0.000001,0,IF(AND(K200&gt;0,入力設定!$B$8="期間短縮型",AA200&lt;0.000001,F200&gt;M200*C200/12),MAX(1,MIN(E200-1,IF(C200=0,ROUNDUP(M200/F200,0),ROUNDUP(-LN(1-M200*(C200/12)/F200)/LN(1+C200/12),0)))),MAX(1,E200-1)))</f>
        <v>185</v>
      </c>
      <c r="O200" s="70">
        <f t="shared" ca="1" si="71"/>
        <v>134858.23151181499</v>
      </c>
      <c r="P200" s="70">
        <f t="shared" ca="1" si="85"/>
        <v>22285012.909028765</v>
      </c>
      <c r="Q200" s="70">
        <f ca="1">IF(OR(A200&gt;入力設定!$B$6*12,P200+AC200&lt;0.000001),0,IF(P200&lt;0.000001,Q199,IF(AE200=1,IF(C200=0,P200/MAX(1,入力設定!$B$6*12-A200+1),P200*(C200/12)/(1-(1+C200/12)^(-MAX(1,入力設定!$B$6*12-A200+1)))),Q199)))</f>
        <v>140524.47704383376</v>
      </c>
      <c r="R200" s="70">
        <f ca="1">IF(P200+AC200&lt;0.000001,0,IF(A200=入力設定!$B$6*12,P200+AB200+AC200,MIN(Q200,P200+AB200+AC200)))</f>
        <v>140524.47704383376</v>
      </c>
      <c r="S200" s="70">
        <f t="shared" ca="1" si="72"/>
        <v>74283.376363429226</v>
      </c>
      <c r="T200" s="70">
        <f t="shared" ca="1" si="73"/>
        <v>66241.100680404532</v>
      </c>
      <c r="U200" s="70">
        <f t="shared" ca="1" si="74"/>
        <v>22218771.808348361</v>
      </c>
      <c r="V200" s="70">
        <f t="shared" ca="1" si="75"/>
        <v>0</v>
      </c>
      <c r="W200" s="70">
        <f t="shared" ca="1" si="76"/>
        <v>0</v>
      </c>
      <c r="X200" s="70">
        <f t="shared" ca="1" si="77"/>
        <v>0</v>
      </c>
      <c r="Y200" s="71">
        <f t="shared" ca="1" si="78"/>
        <v>62237.159161751224</v>
      </c>
      <c r="Z200" s="71">
        <f t="shared" ca="1" si="86"/>
        <v>0</v>
      </c>
      <c r="AA200" s="71">
        <f t="shared" ca="1" si="79"/>
        <v>0</v>
      </c>
      <c r="AB200" s="71">
        <f t="shared" ca="1" si="80"/>
        <v>74283.376363429226</v>
      </c>
      <c r="AC200" s="71">
        <f t="shared" ca="1" si="87"/>
        <v>0</v>
      </c>
      <c r="AD200" s="71">
        <f t="shared" ca="1" si="81"/>
        <v>0</v>
      </c>
      <c r="AE200" s="72">
        <f t="shared" si="82"/>
        <v>0</v>
      </c>
      <c r="AF200" s="73">
        <f>IF(A200&gt;入力設定!$B$6*12,0,IF(AND(ISNUMBER(C200),C200&gt;=0,C200&lt;=1),0,1))</f>
        <v>0</v>
      </c>
    </row>
    <row r="201" spans="1:32" ht="21" customHeight="1">
      <c r="A201" s="68">
        <f>196</f>
        <v>196</v>
      </c>
      <c r="B201" s="69">
        <f>EDATE(入力設定!$B$7,A201-1)</f>
        <v>52263</v>
      </c>
      <c r="C201" s="80">
        <f>INDEX(入力設定!$C$15:$C$24,INT((A201-1)/60)+1)</f>
        <v>0.04</v>
      </c>
      <c r="D201" s="70">
        <f t="shared" ca="1" si="83"/>
        <v>18598526.676175304</v>
      </c>
      <c r="E201" s="70">
        <f t="shared" ca="1" si="84"/>
        <v>185</v>
      </c>
      <c r="F201" s="70">
        <f ca="1">IF(D201+Z201&lt;0.000001,0,IF(D201&lt;0.000001,F200,IF(OR(AE201=1,AND(K200&gt;0,入力設定!$B$8="返済額軽減型",入力設定!$B$11="翌月")),IF(C201=0,D201/MAX(1,E201),D201*(C201/12)/(1-(1+C201/12)^(-MAX(1,E201)))),F200)))</f>
        <v>134858.23151181499</v>
      </c>
      <c r="G201" s="70">
        <f t="shared" ca="1" si="66"/>
        <v>134858.23151181499</v>
      </c>
      <c r="H201" s="70">
        <f t="shared" ca="1" si="67"/>
        <v>61995.088920584349</v>
      </c>
      <c r="I201" s="70">
        <f t="shared" ca="1" si="68"/>
        <v>72863.142591230629</v>
      </c>
      <c r="J201" s="70">
        <f>SUMIFS(入力設定!$G$5:$G$24,入力設定!$F$5:$F$24,A201)</f>
        <v>0</v>
      </c>
      <c r="K201" s="70">
        <f t="shared" ca="1" si="69"/>
        <v>0</v>
      </c>
      <c r="L201" s="70">
        <f ca="1">IF(K201&gt;0,入力設定!$B$9,0)</f>
        <v>0</v>
      </c>
      <c r="M201" s="70">
        <f t="shared" ca="1" si="70"/>
        <v>18525663.533584073</v>
      </c>
      <c r="N201" s="70">
        <f ca="1">IF(M201+AA201&lt;0.000001,0,IF(AND(K201&gt;0,入力設定!$B$8="期間短縮型",AA201&lt;0.000001,F201&gt;M201*C201/12),MAX(1,MIN(E201-1,IF(C201=0,ROUNDUP(M201/F201,0),ROUNDUP(-LN(1-M201*(C201/12)/F201)/LN(1+C201/12),0)))),MAX(1,E201-1)))</f>
        <v>184</v>
      </c>
      <c r="O201" s="70">
        <f t="shared" ca="1" si="71"/>
        <v>134858.23151181499</v>
      </c>
      <c r="P201" s="70">
        <f t="shared" ca="1" si="85"/>
        <v>22218771.808348361</v>
      </c>
      <c r="Q201" s="70">
        <f ca="1">IF(OR(A201&gt;入力設定!$B$6*12,P201+AC201&lt;0.000001),0,IF(P201&lt;0.000001,Q200,IF(AE201=1,IF(C201=0,P201/MAX(1,入力設定!$B$6*12-A201+1),P201*(C201/12)/(1-(1+C201/12)^(-MAX(1,入力設定!$B$6*12-A201+1)))),Q200)))</f>
        <v>140524.47704383376</v>
      </c>
      <c r="R201" s="70">
        <f ca="1">IF(P201+AC201&lt;0.000001,0,IF(A201=入力設定!$B$6*12,P201+AB201+AC201,MIN(Q201,P201+AB201+AC201)))</f>
        <v>140524.47704383376</v>
      </c>
      <c r="S201" s="70">
        <f t="shared" ca="1" si="72"/>
        <v>74062.572694494549</v>
      </c>
      <c r="T201" s="70">
        <f t="shared" ca="1" si="73"/>
        <v>66461.904349339209</v>
      </c>
      <c r="U201" s="70">
        <f t="shared" ca="1" si="74"/>
        <v>22152309.903999023</v>
      </c>
      <c r="V201" s="70">
        <f t="shared" ca="1" si="75"/>
        <v>0</v>
      </c>
      <c r="W201" s="70">
        <f t="shared" ca="1" si="76"/>
        <v>0</v>
      </c>
      <c r="X201" s="70">
        <f t="shared" ca="1" si="77"/>
        <v>0</v>
      </c>
      <c r="Y201" s="71">
        <f t="shared" ca="1" si="78"/>
        <v>61995.088920584349</v>
      </c>
      <c r="Z201" s="71">
        <f t="shared" ca="1" si="86"/>
        <v>0</v>
      </c>
      <c r="AA201" s="71">
        <f t="shared" ca="1" si="79"/>
        <v>0</v>
      </c>
      <c r="AB201" s="71">
        <f t="shared" ca="1" si="80"/>
        <v>74062.572694494549</v>
      </c>
      <c r="AC201" s="71">
        <f t="shared" ca="1" si="87"/>
        <v>0</v>
      </c>
      <c r="AD201" s="71">
        <f t="shared" ca="1" si="81"/>
        <v>0</v>
      </c>
      <c r="AE201" s="72">
        <f t="shared" si="82"/>
        <v>0</v>
      </c>
      <c r="AF201" s="73">
        <f>IF(A201&gt;入力設定!$B$6*12,0,IF(AND(ISNUMBER(C201),C201&gt;=0,C201&lt;=1),0,1))</f>
        <v>0</v>
      </c>
    </row>
    <row r="202" spans="1:32" ht="21" customHeight="1">
      <c r="A202" s="68">
        <f>197</f>
        <v>197</v>
      </c>
      <c r="B202" s="69">
        <f>EDATE(入力設定!$B$7,A202-1)</f>
        <v>52291</v>
      </c>
      <c r="C202" s="80">
        <f>INDEX(入力設定!$C$15:$C$24,INT((A202-1)/60)+1)</f>
        <v>0.04</v>
      </c>
      <c r="D202" s="70">
        <f t="shared" ca="1" si="83"/>
        <v>18525663.533584073</v>
      </c>
      <c r="E202" s="70">
        <f t="shared" ca="1" si="84"/>
        <v>184</v>
      </c>
      <c r="F202" s="70">
        <f ca="1">IF(D202+Z202&lt;0.000001,0,IF(D202&lt;0.000001,F201,IF(OR(AE202=1,AND(K201&gt;0,入力設定!$B$8="返済額軽減型",入力設定!$B$11="翌月")),IF(C202=0,D202/MAX(1,E202),D202*(C202/12)/(1-(1+C202/12)^(-MAX(1,E202)))),F201)))</f>
        <v>134858.23151181499</v>
      </c>
      <c r="G202" s="70">
        <f t="shared" ca="1" si="66"/>
        <v>134858.23151181499</v>
      </c>
      <c r="H202" s="70">
        <f t="shared" ca="1" si="67"/>
        <v>61752.211778613571</v>
      </c>
      <c r="I202" s="70">
        <f t="shared" ca="1" si="68"/>
        <v>73106.019733201421</v>
      </c>
      <c r="J202" s="70">
        <f>SUMIFS(入力設定!$G$5:$G$24,入力設定!$F$5:$F$24,A202)</f>
        <v>0</v>
      </c>
      <c r="K202" s="70">
        <f t="shared" ca="1" si="69"/>
        <v>0</v>
      </c>
      <c r="L202" s="70">
        <f ca="1">IF(K202&gt;0,入力設定!$B$9,0)</f>
        <v>0</v>
      </c>
      <c r="M202" s="70">
        <f t="shared" ca="1" si="70"/>
        <v>18452557.513850871</v>
      </c>
      <c r="N202" s="70">
        <f ca="1">IF(M202+AA202&lt;0.000001,0,IF(AND(K202&gt;0,入力設定!$B$8="期間短縮型",AA202&lt;0.000001,F202&gt;M202*C202/12),MAX(1,MIN(E202-1,IF(C202=0,ROUNDUP(M202/F202,0),ROUNDUP(-LN(1-M202*(C202/12)/F202)/LN(1+C202/12),0)))),MAX(1,E202-1)))</f>
        <v>183</v>
      </c>
      <c r="O202" s="70">
        <f t="shared" ca="1" si="71"/>
        <v>134858.23151181499</v>
      </c>
      <c r="P202" s="70">
        <f t="shared" ca="1" si="85"/>
        <v>22152309.903999023</v>
      </c>
      <c r="Q202" s="70">
        <f ca="1">IF(OR(A202&gt;入力設定!$B$6*12,P202+AC202&lt;0.000001),0,IF(P202&lt;0.000001,Q201,IF(AE202=1,IF(C202=0,P202/MAX(1,入力設定!$B$6*12-A202+1),P202*(C202/12)/(1-(1+C202/12)^(-MAX(1,入力設定!$B$6*12-A202+1)))),Q201)))</f>
        <v>140524.47704383376</v>
      </c>
      <c r="R202" s="70">
        <f ca="1">IF(P202+AC202&lt;0.000001,0,IF(A202=入力設定!$B$6*12,P202+AB202+AC202,MIN(Q202,P202+AB202+AC202)))</f>
        <v>140524.47704383376</v>
      </c>
      <c r="S202" s="70">
        <f t="shared" ca="1" si="72"/>
        <v>73841.033013330074</v>
      </c>
      <c r="T202" s="70">
        <f t="shared" ca="1" si="73"/>
        <v>66683.444030503684</v>
      </c>
      <c r="U202" s="70">
        <f t="shared" ca="1" si="74"/>
        <v>22085626.459968518</v>
      </c>
      <c r="V202" s="70">
        <f t="shared" ca="1" si="75"/>
        <v>0</v>
      </c>
      <c r="W202" s="70">
        <f t="shared" ca="1" si="76"/>
        <v>0</v>
      </c>
      <c r="X202" s="70">
        <f t="shared" ca="1" si="77"/>
        <v>0</v>
      </c>
      <c r="Y202" s="71">
        <f t="shared" ca="1" si="78"/>
        <v>61752.211778613571</v>
      </c>
      <c r="Z202" s="71">
        <f t="shared" ca="1" si="86"/>
        <v>0</v>
      </c>
      <c r="AA202" s="71">
        <f t="shared" ca="1" si="79"/>
        <v>0</v>
      </c>
      <c r="AB202" s="71">
        <f t="shared" ca="1" si="80"/>
        <v>73841.033013330074</v>
      </c>
      <c r="AC202" s="71">
        <f t="shared" ca="1" si="87"/>
        <v>0</v>
      </c>
      <c r="AD202" s="71">
        <f t="shared" ca="1" si="81"/>
        <v>0</v>
      </c>
      <c r="AE202" s="72">
        <f t="shared" si="82"/>
        <v>0</v>
      </c>
      <c r="AF202" s="73">
        <f>IF(A202&gt;入力設定!$B$6*12,0,IF(AND(ISNUMBER(C202),C202&gt;=0,C202&lt;=1),0,1))</f>
        <v>0</v>
      </c>
    </row>
    <row r="203" spans="1:32" ht="21" customHeight="1">
      <c r="A203" s="68">
        <f>198</f>
        <v>198</v>
      </c>
      <c r="B203" s="69">
        <f>EDATE(入力設定!$B$7,A203-1)</f>
        <v>52322</v>
      </c>
      <c r="C203" s="80">
        <f>INDEX(入力設定!$C$15:$C$24,INT((A203-1)/60)+1)</f>
        <v>0.04</v>
      </c>
      <c r="D203" s="70">
        <f t="shared" ca="1" si="83"/>
        <v>18452557.513850871</v>
      </c>
      <c r="E203" s="70">
        <f t="shared" ca="1" si="84"/>
        <v>183</v>
      </c>
      <c r="F203" s="70">
        <f ca="1">IF(D203+Z203&lt;0.000001,0,IF(D203&lt;0.000001,F202,IF(OR(AE203=1,AND(K202&gt;0,入力設定!$B$8="返済額軽減型",入力設定!$B$11="翌月")),IF(C203=0,D203/MAX(1,E203),D203*(C203/12)/(1-(1+C203/12)^(-MAX(1,E203)))),F202)))</f>
        <v>134858.23151181499</v>
      </c>
      <c r="G203" s="70">
        <f t="shared" ca="1" si="66"/>
        <v>134858.23151181499</v>
      </c>
      <c r="H203" s="70">
        <f t="shared" ca="1" si="67"/>
        <v>61508.525046169576</v>
      </c>
      <c r="I203" s="70">
        <f t="shared" ca="1" si="68"/>
        <v>73349.706465645402</v>
      </c>
      <c r="J203" s="70">
        <f>SUMIFS(入力設定!$G$5:$G$24,入力設定!$F$5:$F$24,A203)</f>
        <v>0</v>
      </c>
      <c r="K203" s="70">
        <f t="shared" ca="1" si="69"/>
        <v>0</v>
      </c>
      <c r="L203" s="70">
        <f ca="1">IF(K203&gt;0,入力設定!$B$9,0)</f>
        <v>0</v>
      </c>
      <c r="M203" s="70">
        <f t="shared" ca="1" si="70"/>
        <v>18379207.807385225</v>
      </c>
      <c r="N203" s="70">
        <f ca="1">IF(M203+AA203&lt;0.000001,0,IF(AND(K203&gt;0,入力設定!$B$8="期間短縮型",AA203&lt;0.000001,F203&gt;M203*C203/12),MAX(1,MIN(E203-1,IF(C203=0,ROUNDUP(M203/F203,0),ROUNDUP(-LN(1-M203*(C203/12)/F203)/LN(1+C203/12),0)))),MAX(1,E203-1)))</f>
        <v>182</v>
      </c>
      <c r="O203" s="70">
        <f t="shared" ca="1" si="71"/>
        <v>134858.23151181499</v>
      </c>
      <c r="P203" s="70">
        <f t="shared" ca="1" si="85"/>
        <v>22085626.459968518</v>
      </c>
      <c r="Q203" s="70">
        <f ca="1">IF(OR(A203&gt;入力設定!$B$6*12,P203+AC203&lt;0.000001),0,IF(P203&lt;0.000001,Q202,IF(AE203=1,IF(C203=0,P203/MAX(1,入力設定!$B$6*12-A203+1),P203*(C203/12)/(1-(1+C203/12)^(-MAX(1,入力設定!$B$6*12-A203+1)))),Q202)))</f>
        <v>140524.47704383376</v>
      </c>
      <c r="R203" s="70">
        <f ca="1">IF(P203+AC203&lt;0.000001,0,IF(A203=入力設定!$B$6*12,P203+AB203+AC203,MIN(Q203,P203+AB203+AC203)))</f>
        <v>140524.47704383376</v>
      </c>
      <c r="S203" s="70">
        <f t="shared" ca="1" si="72"/>
        <v>73618.754866561721</v>
      </c>
      <c r="T203" s="70">
        <f t="shared" ca="1" si="73"/>
        <v>66905.722177272037</v>
      </c>
      <c r="U203" s="70">
        <f t="shared" ca="1" si="74"/>
        <v>22018720.737791248</v>
      </c>
      <c r="V203" s="70">
        <f t="shared" ca="1" si="75"/>
        <v>0</v>
      </c>
      <c r="W203" s="70">
        <f t="shared" ca="1" si="76"/>
        <v>0</v>
      </c>
      <c r="X203" s="70">
        <f t="shared" ca="1" si="77"/>
        <v>0</v>
      </c>
      <c r="Y203" s="71">
        <f t="shared" ca="1" si="78"/>
        <v>61508.525046169576</v>
      </c>
      <c r="Z203" s="71">
        <f t="shared" ca="1" si="86"/>
        <v>0</v>
      </c>
      <c r="AA203" s="71">
        <f t="shared" ca="1" si="79"/>
        <v>0</v>
      </c>
      <c r="AB203" s="71">
        <f t="shared" ca="1" si="80"/>
        <v>73618.754866561721</v>
      </c>
      <c r="AC203" s="71">
        <f t="shared" ca="1" si="87"/>
        <v>0</v>
      </c>
      <c r="AD203" s="71">
        <f t="shared" ca="1" si="81"/>
        <v>0</v>
      </c>
      <c r="AE203" s="72">
        <f t="shared" si="82"/>
        <v>0</v>
      </c>
      <c r="AF203" s="73">
        <f>IF(A203&gt;入力設定!$B$6*12,0,IF(AND(ISNUMBER(C203),C203&gt;=0,C203&lt;=1),0,1))</f>
        <v>0</v>
      </c>
    </row>
    <row r="204" spans="1:32" ht="21" customHeight="1">
      <c r="A204" s="68">
        <f>199</f>
        <v>199</v>
      </c>
      <c r="B204" s="69">
        <f>EDATE(入力設定!$B$7,A204-1)</f>
        <v>52352</v>
      </c>
      <c r="C204" s="80">
        <f>INDEX(入力設定!$C$15:$C$24,INT((A204-1)/60)+1)</f>
        <v>0.04</v>
      </c>
      <c r="D204" s="70">
        <f t="shared" ca="1" si="83"/>
        <v>18379207.807385225</v>
      </c>
      <c r="E204" s="70">
        <f t="shared" ca="1" si="84"/>
        <v>182</v>
      </c>
      <c r="F204" s="70">
        <f ca="1">IF(D204+Z204&lt;0.000001,0,IF(D204&lt;0.000001,F203,IF(OR(AE204=1,AND(K203&gt;0,入力設定!$B$8="返済額軽減型",入力設定!$B$11="翌月")),IF(C204=0,D204/MAX(1,E204),D204*(C204/12)/(1-(1+C204/12)^(-MAX(1,E204)))),F203)))</f>
        <v>134858.23151181499</v>
      </c>
      <c r="G204" s="70">
        <f t="shared" ca="1" si="66"/>
        <v>134858.23151181499</v>
      </c>
      <c r="H204" s="70">
        <f t="shared" ca="1" si="67"/>
        <v>61264.026024617422</v>
      </c>
      <c r="I204" s="70">
        <f t="shared" ca="1" si="68"/>
        <v>73594.205487197556</v>
      </c>
      <c r="J204" s="70">
        <f>SUMIFS(入力設定!$G$5:$G$24,入力設定!$F$5:$F$24,A204)</f>
        <v>0</v>
      </c>
      <c r="K204" s="70">
        <f t="shared" ca="1" si="69"/>
        <v>0</v>
      </c>
      <c r="L204" s="70">
        <f ca="1">IF(K204&gt;0,入力設定!$B$9,0)</f>
        <v>0</v>
      </c>
      <c r="M204" s="70">
        <f t="shared" ca="1" si="70"/>
        <v>18305613.601898026</v>
      </c>
      <c r="N204" s="70">
        <f ca="1">IF(M204+AA204&lt;0.000001,0,IF(AND(K204&gt;0,入力設定!$B$8="期間短縮型",AA204&lt;0.000001,F204&gt;M204*C204/12),MAX(1,MIN(E204-1,IF(C204=0,ROUNDUP(M204/F204,0),ROUNDUP(-LN(1-M204*(C204/12)/F204)/LN(1+C204/12),0)))),MAX(1,E204-1)))</f>
        <v>181</v>
      </c>
      <c r="O204" s="70">
        <f t="shared" ca="1" si="71"/>
        <v>134858.23151181499</v>
      </c>
      <c r="P204" s="70">
        <f t="shared" ca="1" si="85"/>
        <v>22018720.737791248</v>
      </c>
      <c r="Q204" s="70">
        <f ca="1">IF(OR(A204&gt;入力設定!$B$6*12,P204+AC204&lt;0.000001),0,IF(P204&lt;0.000001,Q203,IF(AE204=1,IF(C204=0,P204/MAX(1,入力設定!$B$6*12-A204+1),P204*(C204/12)/(1-(1+C204/12)^(-MAX(1,入力設定!$B$6*12-A204+1)))),Q203)))</f>
        <v>140524.47704383376</v>
      </c>
      <c r="R204" s="70">
        <f ca="1">IF(P204+AC204&lt;0.000001,0,IF(A204=入力設定!$B$6*12,P204+AB204+AC204,MIN(Q204,P204+AB204+AC204)))</f>
        <v>140524.47704383376</v>
      </c>
      <c r="S204" s="70">
        <f t="shared" ca="1" si="72"/>
        <v>73395.735792637497</v>
      </c>
      <c r="T204" s="70">
        <f t="shared" ca="1" si="73"/>
        <v>67128.741251196261</v>
      </c>
      <c r="U204" s="70">
        <f t="shared" ca="1" si="74"/>
        <v>21951591.996540051</v>
      </c>
      <c r="V204" s="70">
        <f t="shared" ca="1" si="75"/>
        <v>0</v>
      </c>
      <c r="W204" s="70">
        <f t="shared" ca="1" si="76"/>
        <v>0</v>
      </c>
      <c r="X204" s="70">
        <f t="shared" ca="1" si="77"/>
        <v>0</v>
      </c>
      <c r="Y204" s="71">
        <f t="shared" ca="1" si="78"/>
        <v>61264.026024617422</v>
      </c>
      <c r="Z204" s="71">
        <f t="shared" ca="1" si="86"/>
        <v>0</v>
      </c>
      <c r="AA204" s="71">
        <f t="shared" ca="1" si="79"/>
        <v>0</v>
      </c>
      <c r="AB204" s="71">
        <f t="shared" ca="1" si="80"/>
        <v>73395.735792637497</v>
      </c>
      <c r="AC204" s="71">
        <f t="shared" ca="1" si="87"/>
        <v>0</v>
      </c>
      <c r="AD204" s="71">
        <f t="shared" ca="1" si="81"/>
        <v>0</v>
      </c>
      <c r="AE204" s="72">
        <f t="shared" si="82"/>
        <v>0</v>
      </c>
      <c r="AF204" s="73">
        <f>IF(A204&gt;入力設定!$B$6*12,0,IF(AND(ISNUMBER(C204),C204&gt;=0,C204&lt;=1),0,1))</f>
        <v>0</v>
      </c>
    </row>
    <row r="205" spans="1:32" ht="21" customHeight="1">
      <c r="A205" s="68">
        <f>200</f>
        <v>200</v>
      </c>
      <c r="B205" s="69">
        <f>EDATE(入力設定!$B$7,A205-1)</f>
        <v>52383</v>
      </c>
      <c r="C205" s="80">
        <f>INDEX(入力設定!$C$15:$C$24,INT((A205-1)/60)+1)</f>
        <v>0.04</v>
      </c>
      <c r="D205" s="70">
        <f t="shared" ca="1" si="83"/>
        <v>18305613.601898026</v>
      </c>
      <c r="E205" s="70">
        <f t="shared" ca="1" si="84"/>
        <v>181</v>
      </c>
      <c r="F205" s="70">
        <f ca="1">IF(D205+Z205&lt;0.000001,0,IF(D205&lt;0.000001,F204,IF(OR(AE205=1,AND(K204&gt;0,入力設定!$B$8="返済額軽減型",入力設定!$B$11="翌月")),IF(C205=0,D205/MAX(1,E205),D205*(C205/12)/(1-(1+C205/12)^(-MAX(1,E205)))),F204)))</f>
        <v>134858.23151181499</v>
      </c>
      <c r="G205" s="70">
        <f t="shared" ca="1" si="66"/>
        <v>134858.23151181499</v>
      </c>
      <c r="H205" s="70">
        <f t="shared" ca="1" si="67"/>
        <v>61018.712006326758</v>
      </c>
      <c r="I205" s="70">
        <f t="shared" ca="1" si="68"/>
        <v>73839.519505488221</v>
      </c>
      <c r="J205" s="70">
        <f>SUMIFS(入力設定!$G$5:$G$24,入力設定!$F$5:$F$24,A205)</f>
        <v>0</v>
      </c>
      <c r="K205" s="70">
        <f t="shared" ca="1" si="69"/>
        <v>0</v>
      </c>
      <c r="L205" s="70">
        <f ca="1">IF(K205&gt;0,入力設定!$B$9,0)</f>
        <v>0</v>
      </c>
      <c r="M205" s="70">
        <f t="shared" ca="1" si="70"/>
        <v>18231774.082392536</v>
      </c>
      <c r="N205" s="70">
        <f ca="1">IF(M205+AA205&lt;0.000001,0,IF(AND(K205&gt;0,入力設定!$B$8="期間短縮型",AA205&lt;0.000001,F205&gt;M205*C205/12),MAX(1,MIN(E205-1,IF(C205=0,ROUNDUP(M205/F205,0),ROUNDUP(-LN(1-M205*(C205/12)/F205)/LN(1+C205/12),0)))),MAX(1,E205-1)))</f>
        <v>180</v>
      </c>
      <c r="O205" s="70">
        <f t="shared" ca="1" si="71"/>
        <v>134858.23151181499</v>
      </c>
      <c r="P205" s="70">
        <f t="shared" ca="1" si="85"/>
        <v>21951591.996540051</v>
      </c>
      <c r="Q205" s="70">
        <f ca="1">IF(OR(A205&gt;入力設定!$B$6*12,P205+AC205&lt;0.000001),0,IF(P205&lt;0.000001,Q204,IF(AE205=1,IF(C205=0,P205/MAX(1,入力設定!$B$6*12-A205+1),P205*(C205/12)/(1-(1+C205/12)^(-MAX(1,入力設定!$B$6*12-A205+1)))),Q204)))</f>
        <v>140524.47704383376</v>
      </c>
      <c r="R205" s="70">
        <f ca="1">IF(P205+AC205&lt;0.000001,0,IF(A205=入力設定!$B$6*12,P205+AB205+AC205,MIN(Q205,P205+AB205+AC205)))</f>
        <v>140524.47704383376</v>
      </c>
      <c r="S205" s="70">
        <f t="shared" ca="1" si="72"/>
        <v>73171.973321800164</v>
      </c>
      <c r="T205" s="70">
        <f t="shared" ca="1" si="73"/>
        <v>67352.503722033594</v>
      </c>
      <c r="U205" s="70">
        <f t="shared" ca="1" si="74"/>
        <v>21884239.492818017</v>
      </c>
      <c r="V205" s="70">
        <f t="shared" ca="1" si="75"/>
        <v>0</v>
      </c>
      <c r="W205" s="70">
        <f t="shared" ca="1" si="76"/>
        <v>0</v>
      </c>
      <c r="X205" s="70">
        <f t="shared" ca="1" si="77"/>
        <v>0</v>
      </c>
      <c r="Y205" s="71">
        <f t="shared" ca="1" si="78"/>
        <v>61018.712006326758</v>
      </c>
      <c r="Z205" s="71">
        <f t="shared" ca="1" si="86"/>
        <v>0</v>
      </c>
      <c r="AA205" s="71">
        <f t="shared" ca="1" si="79"/>
        <v>0</v>
      </c>
      <c r="AB205" s="71">
        <f t="shared" ca="1" si="80"/>
        <v>73171.973321800164</v>
      </c>
      <c r="AC205" s="71">
        <f t="shared" ca="1" si="87"/>
        <v>0</v>
      </c>
      <c r="AD205" s="71">
        <f t="shared" ca="1" si="81"/>
        <v>0</v>
      </c>
      <c r="AE205" s="72">
        <f t="shared" si="82"/>
        <v>0</v>
      </c>
      <c r="AF205" s="73">
        <f>IF(A205&gt;入力設定!$B$6*12,0,IF(AND(ISNUMBER(C205),C205&gt;=0,C205&lt;=1),0,1))</f>
        <v>0</v>
      </c>
    </row>
    <row r="206" spans="1:32" ht="21" customHeight="1">
      <c r="A206" s="68">
        <f>201</f>
        <v>201</v>
      </c>
      <c r="B206" s="69">
        <f>EDATE(入力設定!$B$7,A206-1)</f>
        <v>52413</v>
      </c>
      <c r="C206" s="80">
        <f>INDEX(入力設定!$C$15:$C$24,INT((A206-1)/60)+1)</f>
        <v>0.04</v>
      </c>
      <c r="D206" s="70">
        <f t="shared" ca="1" si="83"/>
        <v>18231774.082392536</v>
      </c>
      <c r="E206" s="70">
        <f t="shared" ca="1" si="84"/>
        <v>180</v>
      </c>
      <c r="F206" s="70">
        <f ca="1">IF(D206+Z206&lt;0.000001,0,IF(D206&lt;0.000001,F205,IF(OR(AE206=1,AND(K205&gt;0,入力設定!$B$8="返済額軽減型",入力設定!$B$11="翌月")),IF(C206=0,D206/MAX(1,E206),D206*(C206/12)/(1-(1+C206/12)^(-MAX(1,E206)))),F205)))</f>
        <v>134858.23151181499</v>
      </c>
      <c r="G206" s="70">
        <f t="shared" ca="1" si="66"/>
        <v>134858.23151181499</v>
      </c>
      <c r="H206" s="70">
        <f t="shared" ca="1" si="67"/>
        <v>60772.580274641783</v>
      </c>
      <c r="I206" s="70">
        <f t="shared" ca="1" si="68"/>
        <v>74085.65123717321</v>
      </c>
      <c r="J206" s="70">
        <f>SUMIFS(入力設定!$G$5:$G$24,入力設定!$F$5:$F$24,A206)</f>
        <v>0</v>
      </c>
      <c r="K206" s="70">
        <f t="shared" ca="1" si="69"/>
        <v>0</v>
      </c>
      <c r="L206" s="70">
        <f ca="1">IF(K206&gt;0,入力設定!$B$9,0)</f>
        <v>0</v>
      </c>
      <c r="M206" s="70">
        <f t="shared" ca="1" si="70"/>
        <v>18157688.431155361</v>
      </c>
      <c r="N206" s="70">
        <f ca="1">IF(M206+AA206&lt;0.000001,0,IF(AND(K206&gt;0,入力設定!$B$8="期間短縮型",AA206&lt;0.000001,F206&gt;M206*C206/12),MAX(1,MIN(E206-1,IF(C206=0,ROUNDUP(M206/F206,0),ROUNDUP(-LN(1-M206*(C206/12)/F206)/LN(1+C206/12),0)))),MAX(1,E206-1)))</f>
        <v>179</v>
      </c>
      <c r="O206" s="70">
        <f t="shared" ca="1" si="71"/>
        <v>134858.23151181499</v>
      </c>
      <c r="P206" s="70">
        <f t="shared" ca="1" si="85"/>
        <v>21884239.492818017</v>
      </c>
      <c r="Q206" s="70">
        <f ca="1">IF(OR(A206&gt;入力設定!$B$6*12,P206+AC206&lt;0.000001),0,IF(P206&lt;0.000001,Q205,IF(AE206=1,IF(C206=0,P206/MAX(1,入力設定!$B$6*12-A206+1),P206*(C206/12)/(1-(1+C206/12)^(-MAX(1,入力設定!$B$6*12-A206+1)))),Q205)))</f>
        <v>140524.47704383376</v>
      </c>
      <c r="R206" s="70">
        <f ca="1">IF(P206+AC206&lt;0.000001,0,IF(A206=入力設定!$B$6*12,P206+AB206+AC206,MIN(Q206,P206+AB206+AC206)))</f>
        <v>140524.47704383376</v>
      </c>
      <c r="S206" s="70">
        <f t="shared" ca="1" si="72"/>
        <v>72947.464976060059</v>
      </c>
      <c r="T206" s="70">
        <f t="shared" ca="1" si="73"/>
        <v>67577.0120677737</v>
      </c>
      <c r="U206" s="70">
        <f t="shared" ca="1" si="74"/>
        <v>21816662.480750244</v>
      </c>
      <c r="V206" s="70">
        <f t="shared" ca="1" si="75"/>
        <v>0</v>
      </c>
      <c r="W206" s="70">
        <f t="shared" ca="1" si="76"/>
        <v>0</v>
      </c>
      <c r="X206" s="70">
        <f t="shared" ca="1" si="77"/>
        <v>0</v>
      </c>
      <c r="Y206" s="71">
        <f t="shared" ca="1" si="78"/>
        <v>60772.580274641783</v>
      </c>
      <c r="Z206" s="71">
        <f t="shared" ca="1" si="86"/>
        <v>0</v>
      </c>
      <c r="AA206" s="71">
        <f t="shared" ca="1" si="79"/>
        <v>0</v>
      </c>
      <c r="AB206" s="71">
        <f t="shared" ca="1" si="80"/>
        <v>72947.464976060059</v>
      </c>
      <c r="AC206" s="71">
        <f t="shared" ca="1" si="87"/>
        <v>0</v>
      </c>
      <c r="AD206" s="71">
        <f t="shared" ca="1" si="81"/>
        <v>0</v>
      </c>
      <c r="AE206" s="72">
        <f t="shared" si="82"/>
        <v>0</v>
      </c>
      <c r="AF206" s="73">
        <f>IF(A206&gt;入力設定!$B$6*12,0,IF(AND(ISNUMBER(C206),C206&gt;=0,C206&lt;=1),0,1))</f>
        <v>0</v>
      </c>
    </row>
    <row r="207" spans="1:32" ht="21" customHeight="1">
      <c r="A207" s="68">
        <f>202</f>
        <v>202</v>
      </c>
      <c r="B207" s="69">
        <f>EDATE(入力設定!$B$7,A207-1)</f>
        <v>52444</v>
      </c>
      <c r="C207" s="80">
        <f>INDEX(入力設定!$C$15:$C$24,INT((A207-1)/60)+1)</f>
        <v>0.04</v>
      </c>
      <c r="D207" s="70">
        <f t="shared" ca="1" si="83"/>
        <v>18157688.431155361</v>
      </c>
      <c r="E207" s="70">
        <f t="shared" ca="1" si="84"/>
        <v>179</v>
      </c>
      <c r="F207" s="70">
        <f ca="1">IF(D207+Z207&lt;0.000001,0,IF(D207&lt;0.000001,F206,IF(OR(AE207=1,AND(K206&gt;0,入力設定!$B$8="返済額軽減型",入力設定!$B$11="翌月")),IF(C207=0,D207/MAX(1,E207),D207*(C207/12)/(1-(1+C207/12)^(-MAX(1,E207)))),F206)))</f>
        <v>134858.23151181499</v>
      </c>
      <c r="G207" s="70">
        <f t="shared" ca="1" si="66"/>
        <v>134858.23151181499</v>
      </c>
      <c r="H207" s="70">
        <f t="shared" ca="1" si="67"/>
        <v>60525.628103851202</v>
      </c>
      <c r="I207" s="70">
        <f t="shared" ca="1" si="68"/>
        <v>74332.60340796379</v>
      </c>
      <c r="J207" s="70">
        <f>SUMIFS(入力設定!$G$5:$G$24,入力設定!$F$5:$F$24,A207)</f>
        <v>0</v>
      </c>
      <c r="K207" s="70">
        <f t="shared" ca="1" si="69"/>
        <v>0</v>
      </c>
      <c r="L207" s="70">
        <f ca="1">IF(K207&gt;0,入力設定!$B$9,0)</f>
        <v>0</v>
      </c>
      <c r="M207" s="70">
        <f t="shared" ca="1" si="70"/>
        <v>18083355.827747397</v>
      </c>
      <c r="N207" s="70">
        <f ca="1">IF(M207+AA207&lt;0.000001,0,IF(AND(K207&gt;0,入力設定!$B$8="期間短縮型",AA207&lt;0.000001,F207&gt;M207*C207/12),MAX(1,MIN(E207-1,IF(C207=0,ROUNDUP(M207/F207,0),ROUNDUP(-LN(1-M207*(C207/12)/F207)/LN(1+C207/12),0)))),MAX(1,E207-1)))</f>
        <v>178</v>
      </c>
      <c r="O207" s="70">
        <f t="shared" ca="1" si="71"/>
        <v>134858.23151181499</v>
      </c>
      <c r="P207" s="70">
        <f t="shared" ca="1" si="85"/>
        <v>21816662.480750244</v>
      </c>
      <c r="Q207" s="70">
        <f ca="1">IF(OR(A207&gt;入力設定!$B$6*12,P207+AC207&lt;0.000001),0,IF(P207&lt;0.000001,Q206,IF(AE207=1,IF(C207=0,P207/MAX(1,入力設定!$B$6*12-A207+1),P207*(C207/12)/(1-(1+C207/12)^(-MAX(1,入力設定!$B$6*12-A207+1)))),Q206)))</f>
        <v>140524.47704383376</v>
      </c>
      <c r="R207" s="70">
        <f ca="1">IF(P207+AC207&lt;0.000001,0,IF(A207=入力設定!$B$6*12,P207+AB207+AC207,MIN(Q207,P207+AB207+AC207)))</f>
        <v>140524.47704383376</v>
      </c>
      <c r="S207" s="70">
        <f t="shared" ca="1" si="72"/>
        <v>72722.208269167473</v>
      </c>
      <c r="T207" s="70">
        <f t="shared" ca="1" si="73"/>
        <v>67802.268774666285</v>
      </c>
      <c r="U207" s="70">
        <f t="shared" ca="1" si="74"/>
        <v>21748860.211975578</v>
      </c>
      <c r="V207" s="70">
        <f t="shared" ca="1" si="75"/>
        <v>0</v>
      </c>
      <c r="W207" s="70">
        <f t="shared" ca="1" si="76"/>
        <v>0</v>
      </c>
      <c r="X207" s="70">
        <f t="shared" ca="1" si="77"/>
        <v>0</v>
      </c>
      <c r="Y207" s="71">
        <f t="shared" ca="1" si="78"/>
        <v>60525.628103851202</v>
      </c>
      <c r="Z207" s="71">
        <f t="shared" ca="1" si="86"/>
        <v>0</v>
      </c>
      <c r="AA207" s="71">
        <f t="shared" ca="1" si="79"/>
        <v>0</v>
      </c>
      <c r="AB207" s="71">
        <f t="shared" ca="1" si="80"/>
        <v>72722.208269167473</v>
      </c>
      <c r="AC207" s="71">
        <f t="shared" ca="1" si="87"/>
        <v>0</v>
      </c>
      <c r="AD207" s="71">
        <f t="shared" ca="1" si="81"/>
        <v>0</v>
      </c>
      <c r="AE207" s="72">
        <f t="shared" si="82"/>
        <v>0</v>
      </c>
      <c r="AF207" s="73">
        <f>IF(A207&gt;入力設定!$B$6*12,0,IF(AND(ISNUMBER(C207),C207&gt;=0,C207&lt;=1),0,1))</f>
        <v>0</v>
      </c>
    </row>
    <row r="208" spans="1:32" ht="21" customHeight="1">
      <c r="A208" s="68">
        <f>203</f>
        <v>203</v>
      </c>
      <c r="B208" s="69">
        <f>EDATE(入力設定!$B$7,A208-1)</f>
        <v>52475</v>
      </c>
      <c r="C208" s="80">
        <f>INDEX(入力設定!$C$15:$C$24,INT((A208-1)/60)+1)</f>
        <v>0.04</v>
      </c>
      <c r="D208" s="70">
        <f t="shared" ca="1" si="83"/>
        <v>18083355.827747397</v>
      </c>
      <c r="E208" s="70">
        <f t="shared" ca="1" si="84"/>
        <v>178</v>
      </c>
      <c r="F208" s="70">
        <f ca="1">IF(D208+Z208&lt;0.000001,0,IF(D208&lt;0.000001,F207,IF(OR(AE208=1,AND(K207&gt;0,入力設定!$B$8="返済額軽減型",入力設定!$B$11="翌月")),IF(C208=0,D208/MAX(1,E208),D208*(C208/12)/(1-(1+C208/12)^(-MAX(1,E208)))),F207)))</f>
        <v>134858.23151181499</v>
      </c>
      <c r="G208" s="70">
        <f t="shared" ca="1" si="66"/>
        <v>134858.23151181499</v>
      </c>
      <c r="H208" s="70">
        <f t="shared" ca="1" si="67"/>
        <v>60277.852759157999</v>
      </c>
      <c r="I208" s="70">
        <f t="shared" ca="1" si="68"/>
        <v>74580.378752656979</v>
      </c>
      <c r="J208" s="70">
        <f>SUMIFS(入力設定!$G$5:$G$24,入力設定!$F$5:$F$24,A208)</f>
        <v>0</v>
      </c>
      <c r="K208" s="70">
        <f t="shared" ca="1" si="69"/>
        <v>0</v>
      </c>
      <c r="L208" s="70">
        <f ca="1">IF(K208&gt;0,入力設定!$B$9,0)</f>
        <v>0</v>
      </c>
      <c r="M208" s="70">
        <f t="shared" ca="1" si="70"/>
        <v>18008775.448994741</v>
      </c>
      <c r="N208" s="70">
        <f ca="1">IF(M208+AA208&lt;0.000001,0,IF(AND(K208&gt;0,入力設定!$B$8="期間短縮型",AA208&lt;0.000001,F208&gt;M208*C208/12),MAX(1,MIN(E208-1,IF(C208=0,ROUNDUP(M208/F208,0),ROUNDUP(-LN(1-M208*(C208/12)/F208)/LN(1+C208/12),0)))),MAX(1,E208-1)))</f>
        <v>177</v>
      </c>
      <c r="O208" s="70">
        <f t="shared" ca="1" si="71"/>
        <v>134858.23151181499</v>
      </c>
      <c r="P208" s="70">
        <f t="shared" ca="1" si="85"/>
        <v>21748860.211975578</v>
      </c>
      <c r="Q208" s="70">
        <f ca="1">IF(OR(A208&gt;入力設定!$B$6*12,P208+AC208&lt;0.000001),0,IF(P208&lt;0.000001,Q207,IF(AE208=1,IF(C208=0,P208/MAX(1,入力設定!$B$6*12-A208+1),P208*(C208/12)/(1-(1+C208/12)^(-MAX(1,入力設定!$B$6*12-A208+1)))),Q207)))</f>
        <v>140524.47704383376</v>
      </c>
      <c r="R208" s="70">
        <f ca="1">IF(P208+AC208&lt;0.000001,0,IF(A208=入力設定!$B$6*12,P208+AB208+AC208,MIN(Q208,P208+AB208+AC208)))</f>
        <v>140524.47704383376</v>
      </c>
      <c r="S208" s="70">
        <f t="shared" ca="1" si="72"/>
        <v>72496.200706585267</v>
      </c>
      <c r="T208" s="70">
        <f t="shared" ca="1" si="73"/>
        <v>68028.276337248491</v>
      </c>
      <c r="U208" s="70">
        <f t="shared" ca="1" si="74"/>
        <v>21680831.935638331</v>
      </c>
      <c r="V208" s="70">
        <f t="shared" ca="1" si="75"/>
        <v>0</v>
      </c>
      <c r="W208" s="70">
        <f t="shared" ca="1" si="76"/>
        <v>0</v>
      </c>
      <c r="X208" s="70">
        <f t="shared" ca="1" si="77"/>
        <v>0</v>
      </c>
      <c r="Y208" s="71">
        <f t="shared" ca="1" si="78"/>
        <v>60277.852759157999</v>
      </c>
      <c r="Z208" s="71">
        <f t="shared" ca="1" si="86"/>
        <v>0</v>
      </c>
      <c r="AA208" s="71">
        <f t="shared" ca="1" si="79"/>
        <v>0</v>
      </c>
      <c r="AB208" s="71">
        <f t="shared" ca="1" si="80"/>
        <v>72496.200706585267</v>
      </c>
      <c r="AC208" s="71">
        <f t="shared" ca="1" si="87"/>
        <v>0</v>
      </c>
      <c r="AD208" s="71">
        <f t="shared" ca="1" si="81"/>
        <v>0</v>
      </c>
      <c r="AE208" s="72">
        <f t="shared" si="82"/>
        <v>0</v>
      </c>
      <c r="AF208" s="73">
        <f>IF(A208&gt;入力設定!$B$6*12,0,IF(AND(ISNUMBER(C208),C208&gt;=0,C208&lt;=1),0,1))</f>
        <v>0</v>
      </c>
    </row>
    <row r="209" spans="1:32" ht="21" customHeight="1">
      <c r="A209" s="68">
        <f>204</f>
        <v>204</v>
      </c>
      <c r="B209" s="69">
        <f>EDATE(入力設定!$B$7,A209-1)</f>
        <v>52505</v>
      </c>
      <c r="C209" s="80">
        <f>INDEX(入力設定!$C$15:$C$24,INT((A209-1)/60)+1)</f>
        <v>0.04</v>
      </c>
      <c r="D209" s="70">
        <f t="shared" ca="1" si="83"/>
        <v>18008775.448994741</v>
      </c>
      <c r="E209" s="70">
        <f t="shared" ca="1" si="84"/>
        <v>177</v>
      </c>
      <c r="F209" s="70">
        <f ca="1">IF(D209+Z209&lt;0.000001,0,IF(D209&lt;0.000001,F208,IF(OR(AE209=1,AND(K208&gt;0,入力設定!$B$8="返済額軽減型",入力設定!$B$11="翌月")),IF(C209=0,D209/MAX(1,E209),D209*(C209/12)/(1-(1+C209/12)^(-MAX(1,E209)))),F208)))</f>
        <v>134858.23151181499</v>
      </c>
      <c r="G209" s="70">
        <f t="shared" ca="1" si="66"/>
        <v>134858.23151181499</v>
      </c>
      <c r="H209" s="70">
        <f t="shared" ca="1" si="67"/>
        <v>60029.251496649136</v>
      </c>
      <c r="I209" s="70">
        <f t="shared" ca="1" si="68"/>
        <v>74828.980015165842</v>
      </c>
      <c r="J209" s="70">
        <f>SUMIFS(入力設定!$G$5:$G$24,入力設定!$F$5:$F$24,A209)</f>
        <v>0</v>
      </c>
      <c r="K209" s="70">
        <f t="shared" ca="1" si="69"/>
        <v>0</v>
      </c>
      <c r="L209" s="70">
        <f ca="1">IF(K209&gt;0,入力設定!$B$9,0)</f>
        <v>0</v>
      </c>
      <c r="M209" s="70">
        <f t="shared" ca="1" si="70"/>
        <v>17933946.468979575</v>
      </c>
      <c r="N209" s="70">
        <f ca="1">IF(M209+AA209&lt;0.000001,0,IF(AND(K209&gt;0,入力設定!$B$8="期間短縮型",AA209&lt;0.000001,F209&gt;M209*C209/12),MAX(1,MIN(E209-1,IF(C209=0,ROUNDUP(M209/F209,0),ROUNDUP(-LN(1-M209*(C209/12)/F209)/LN(1+C209/12),0)))),MAX(1,E209-1)))</f>
        <v>176</v>
      </c>
      <c r="O209" s="70">
        <f t="shared" ca="1" si="71"/>
        <v>134858.23151181499</v>
      </c>
      <c r="P209" s="70">
        <f t="shared" ca="1" si="85"/>
        <v>21680831.935638331</v>
      </c>
      <c r="Q209" s="70">
        <f ca="1">IF(OR(A209&gt;入力設定!$B$6*12,P209+AC209&lt;0.000001),0,IF(P209&lt;0.000001,Q208,IF(AE209=1,IF(C209=0,P209/MAX(1,入力設定!$B$6*12-A209+1),P209*(C209/12)/(1-(1+C209/12)^(-MAX(1,入力設定!$B$6*12-A209+1)))),Q208)))</f>
        <v>140524.47704383376</v>
      </c>
      <c r="R209" s="70">
        <f ca="1">IF(P209+AC209&lt;0.000001,0,IF(A209=入力設定!$B$6*12,P209+AB209+AC209,MIN(Q209,P209+AB209+AC209)))</f>
        <v>140524.47704383376</v>
      </c>
      <c r="S209" s="70">
        <f t="shared" ca="1" si="72"/>
        <v>72269.439785461102</v>
      </c>
      <c r="T209" s="70">
        <f t="shared" ca="1" si="73"/>
        <v>68255.037258372657</v>
      </c>
      <c r="U209" s="70">
        <f t="shared" ca="1" si="74"/>
        <v>21612576.898379959</v>
      </c>
      <c r="V209" s="70">
        <f t="shared" ca="1" si="75"/>
        <v>0</v>
      </c>
      <c r="W209" s="70">
        <f t="shared" ca="1" si="76"/>
        <v>0</v>
      </c>
      <c r="X209" s="70">
        <f t="shared" ca="1" si="77"/>
        <v>0</v>
      </c>
      <c r="Y209" s="71">
        <f t="shared" ca="1" si="78"/>
        <v>60029.251496649136</v>
      </c>
      <c r="Z209" s="71">
        <f t="shared" ca="1" si="86"/>
        <v>0</v>
      </c>
      <c r="AA209" s="71">
        <f t="shared" ca="1" si="79"/>
        <v>0</v>
      </c>
      <c r="AB209" s="71">
        <f t="shared" ca="1" si="80"/>
        <v>72269.439785461102</v>
      </c>
      <c r="AC209" s="71">
        <f t="shared" ca="1" si="87"/>
        <v>0</v>
      </c>
      <c r="AD209" s="71">
        <f t="shared" ca="1" si="81"/>
        <v>0</v>
      </c>
      <c r="AE209" s="72">
        <f t="shared" si="82"/>
        <v>0</v>
      </c>
      <c r="AF209" s="73">
        <f>IF(A209&gt;入力設定!$B$6*12,0,IF(AND(ISNUMBER(C209),C209&gt;=0,C209&lt;=1),0,1))</f>
        <v>0</v>
      </c>
    </row>
    <row r="210" spans="1:32" ht="21" customHeight="1">
      <c r="A210" s="68">
        <f>205</f>
        <v>205</v>
      </c>
      <c r="B210" s="69">
        <f>EDATE(入力設定!$B$7,A210-1)</f>
        <v>52536</v>
      </c>
      <c r="C210" s="80">
        <f>INDEX(入力設定!$C$15:$C$24,INT((A210-1)/60)+1)</f>
        <v>0.04</v>
      </c>
      <c r="D210" s="70">
        <f t="shared" ca="1" si="83"/>
        <v>17933946.468979575</v>
      </c>
      <c r="E210" s="70">
        <f t="shared" ca="1" si="84"/>
        <v>176</v>
      </c>
      <c r="F210" s="70">
        <f ca="1">IF(D210+Z210&lt;0.000001,0,IF(D210&lt;0.000001,F209,IF(OR(AE210=1,AND(K209&gt;0,入力設定!$B$8="返済額軽減型",入力設定!$B$11="翌月")),IF(C210=0,D210/MAX(1,E210),D210*(C210/12)/(1-(1+C210/12)^(-MAX(1,E210)))),F209)))</f>
        <v>134858.23151181499</v>
      </c>
      <c r="G210" s="70">
        <f t="shared" ca="1" si="66"/>
        <v>134858.23151181499</v>
      </c>
      <c r="H210" s="70">
        <f t="shared" ca="1" si="67"/>
        <v>59779.82156326525</v>
      </c>
      <c r="I210" s="70">
        <f t="shared" ca="1" si="68"/>
        <v>75078.409948549728</v>
      </c>
      <c r="J210" s="70">
        <f>SUMIFS(入力設定!$G$5:$G$24,入力設定!$F$5:$F$24,A210)</f>
        <v>0</v>
      </c>
      <c r="K210" s="70">
        <f t="shared" ca="1" si="69"/>
        <v>0</v>
      </c>
      <c r="L210" s="70">
        <f ca="1">IF(K210&gt;0,入力設定!$B$9,0)</f>
        <v>0</v>
      </c>
      <c r="M210" s="70">
        <f t="shared" ca="1" si="70"/>
        <v>17858868.059031025</v>
      </c>
      <c r="N210" s="70">
        <f ca="1">IF(M210+AA210&lt;0.000001,0,IF(AND(K210&gt;0,入力設定!$B$8="期間短縮型",AA210&lt;0.000001,F210&gt;M210*C210/12),MAX(1,MIN(E210-1,IF(C210=0,ROUNDUP(M210/F210,0),ROUNDUP(-LN(1-M210*(C210/12)/F210)/LN(1+C210/12),0)))),MAX(1,E210-1)))</f>
        <v>175</v>
      </c>
      <c r="O210" s="70">
        <f t="shared" ca="1" si="71"/>
        <v>134858.23151181499</v>
      </c>
      <c r="P210" s="70">
        <f t="shared" ca="1" si="85"/>
        <v>21612576.898379959</v>
      </c>
      <c r="Q210" s="70">
        <f ca="1">IF(OR(A210&gt;入力設定!$B$6*12,P210+AC210&lt;0.000001),0,IF(P210&lt;0.000001,Q209,IF(AE210=1,IF(C210=0,P210/MAX(1,入力設定!$B$6*12-A210+1),P210*(C210/12)/(1-(1+C210/12)^(-MAX(1,入力設定!$B$6*12-A210+1)))),Q209)))</f>
        <v>140524.47704383376</v>
      </c>
      <c r="R210" s="70">
        <f ca="1">IF(P210+AC210&lt;0.000001,0,IF(A210=入力設定!$B$6*12,P210+AB210+AC210,MIN(Q210,P210+AB210+AC210)))</f>
        <v>140524.47704383376</v>
      </c>
      <c r="S210" s="70">
        <f t="shared" ca="1" si="72"/>
        <v>72041.922994599867</v>
      </c>
      <c r="T210" s="70">
        <f t="shared" ca="1" si="73"/>
        <v>68482.554049233891</v>
      </c>
      <c r="U210" s="70">
        <f t="shared" ca="1" si="74"/>
        <v>21544094.344330724</v>
      </c>
      <c r="V210" s="70">
        <f t="shared" ca="1" si="75"/>
        <v>0</v>
      </c>
      <c r="W210" s="70">
        <f t="shared" ca="1" si="76"/>
        <v>0</v>
      </c>
      <c r="X210" s="70">
        <f t="shared" ca="1" si="77"/>
        <v>0</v>
      </c>
      <c r="Y210" s="71">
        <f t="shared" ca="1" si="78"/>
        <v>59779.82156326525</v>
      </c>
      <c r="Z210" s="71">
        <f t="shared" ca="1" si="86"/>
        <v>0</v>
      </c>
      <c r="AA210" s="71">
        <f t="shared" ca="1" si="79"/>
        <v>0</v>
      </c>
      <c r="AB210" s="71">
        <f t="shared" ca="1" si="80"/>
        <v>72041.922994599867</v>
      </c>
      <c r="AC210" s="71">
        <f t="shared" ca="1" si="87"/>
        <v>0</v>
      </c>
      <c r="AD210" s="71">
        <f t="shared" ca="1" si="81"/>
        <v>0</v>
      </c>
      <c r="AE210" s="72">
        <f t="shared" si="82"/>
        <v>0</v>
      </c>
      <c r="AF210" s="73">
        <f>IF(A210&gt;入力設定!$B$6*12,0,IF(AND(ISNUMBER(C210),C210&gt;=0,C210&lt;=1),0,1))</f>
        <v>0</v>
      </c>
    </row>
    <row r="211" spans="1:32" ht="21" customHeight="1">
      <c r="A211" s="68">
        <f>206</f>
        <v>206</v>
      </c>
      <c r="B211" s="69">
        <f>EDATE(入力設定!$B$7,A211-1)</f>
        <v>52566</v>
      </c>
      <c r="C211" s="80">
        <f>INDEX(入力設定!$C$15:$C$24,INT((A211-1)/60)+1)</f>
        <v>0.04</v>
      </c>
      <c r="D211" s="70">
        <f t="shared" ca="1" si="83"/>
        <v>17858868.059031025</v>
      </c>
      <c r="E211" s="70">
        <f t="shared" ca="1" si="84"/>
        <v>175</v>
      </c>
      <c r="F211" s="70">
        <f ca="1">IF(D211+Z211&lt;0.000001,0,IF(D211&lt;0.000001,F210,IF(OR(AE211=1,AND(K210&gt;0,入力設定!$B$8="返済額軽減型",入力設定!$B$11="翌月")),IF(C211=0,D211/MAX(1,E211),D211*(C211/12)/(1-(1+C211/12)^(-MAX(1,E211)))),F210)))</f>
        <v>134858.23151181499</v>
      </c>
      <c r="G211" s="70">
        <f t="shared" ca="1" si="66"/>
        <v>134858.23151181499</v>
      </c>
      <c r="H211" s="70">
        <f t="shared" ca="1" si="67"/>
        <v>59529.560196770086</v>
      </c>
      <c r="I211" s="70">
        <f t="shared" ca="1" si="68"/>
        <v>75328.671315044892</v>
      </c>
      <c r="J211" s="70">
        <f>SUMIFS(入力設定!$G$5:$G$24,入力設定!$F$5:$F$24,A211)</f>
        <v>0</v>
      </c>
      <c r="K211" s="70">
        <f t="shared" ca="1" si="69"/>
        <v>0</v>
      </c>
      <c r="L211" s="70">
        <f ca="1">IF(K211&gt;0,入力設定!$B$9,0)</f>
        <v>0</v>
      </c>
      <c r="M211" s="70">
        <f t="shared" ca="1" si="70"/>
        <v>17783539.38771598</v>
      </c>
      <c r="N211" s="70">
        <f ca="1">IF(M211+AA211&lt;0.000001,0,IF(AND(K211&gt;0,入力設定!$B$8="期間短縮型",AA211&lt;0.000001,F211&gt;M211*C211/12),MAX(1,MIN(E211-1,IF(C211=0,ROUNDUP(M211/F211,0),ROUNDUP(-LN(1-M211*(C211/12)/F211)/LN(1+C211/12),0)))),MAX(1,E211-1)))</f>
        <v>174</v>
      </c>
      <c r="O211" s="70">
        <f t="shared" ca="1" si="71"/>
        <v>134858.23151181499</v>
      </c>
      <c r="P211" s="70">
        <f t="shared" ca="1" si="85"/>
        <v>21544094.344330724</v>
      </c>
      <c r="Q211" s="70">
        <f ca="1">IF(OR(A211&gt;入力設定!$B$6*12,P211+AC211&lt;0.000001),0,IF(P211&lt;0.000001,Q210,IF(AE211=1,IF(C211=0,P211/MAX(1,入力設定!$B$6*12-A211+1),P211*(C211/12)/(1-(1+C211/12)^(-MAX(1,入力設定!$B$6*12-A211+1)))),Q210)))</f>
        <v>140524.47704383376</v>
      </c>
      <c r="R211" s="70">
        <f ca="1">IF(P211+AC211&lt;0.000001,0,IF(A211=入力設定!$B$6*12,P211+AB211+AC211,MIN(Q211,P211+AB211+AC211)))</f>
        <v>140524.47704383376</v>
      </c>
      <c r="S211" s="70">
        <f t="shared" ca="1" si="72"/>
        <v>71813.647814435753</v>
      </c>
      <c r="T211" s="70">
        <f t="shared" ca="1" si="73"/>
        <v>68710.829229398005</v>
      </c>
      <c r="U211" s="70">
        <f t="shared" ca="1" si="74"/>
        <v>21475383.515101325</v>
      </c>
      <c r="V211" s="70">
        <f t="shared" ca="1" si="75"/>
        <v>0</v>
      </c>
      <c r="W211" s="70">
        <f t="shared" ca="1" si="76"/>
        <v>0</v>
      </c>
      <c r="X211" s="70">
        <f t="shared" ca="1" si="77"/>
        <v>0</v>
      </c>
      <c r="Y211" s="71">
        <f t="shared" ca="1" si="78"/>
        <v>59529.560196770086</v>
      </c>
      <c r="Z211" s="71">
        <f t="shared" ca="1" si="86"/>
        <v>0</v>
      </c>
      <c r="AA211" s="71">
        <f t="shared" ca="1" si="79"/>
        <v>0</v>
      </c>
      <c r="AB211" s="71">
        <f t="shared" ca="1" si="80"/>
        <v>71813.647814435753</v>
      </c>
      <c r="AC211" s="71">
        <f t="shared" ca="1" si="87"/>
        <v>0</v>
      </c>
      <c r="AD211" s="71">
        <f t="shared" ca="1" si="81"/>
        <v>0</v>
      </c>
      <c r="AE211" s="72">
        <f t="shared" si="82"/>
        <v>0</v>
      </c>
      <c r="AF211" s="73">
        <f>IF(A211&gt;入力設定!$B$6*12,0,IF(AND(ISNUMBER(C211),C211&gt;=0,C211&lt;=1),0,1))</f>
        <v>0</v>
      </c>
    </row>
    <row r="212" spans="1:32" ht="21" customHeight="1">
      <c r="A212" s="68">
        <f>207</f>
        <v>207</v>
      </c>
      <c r="B212" s="69">
        <f>EDATE(入力設定!$B$7,A212-1)</f>
        <v>52597</v>
      </c>
      <c r="C212" s="80">
        <f>INDEX(入力設定!$C$15:$C$24,INT((A212-1)/60)+1)</f>
        <v>0.04</v>
      </c>
      <c r="D212" s="70">
        <f t="shared" ca="1" si="83"/>
        <v>17783539.38771598</v>
      </c>
      <c r="E212" s="70">
        <f t="shared" ca="1" si="84"/>
        <v>174</v>
      </c>
      <c r="F212" s="70">
        <f ca="1">IF(D212+Z212&lt;0.000001,0,IF(D212&lt;0.000001,F211,IF(OR(AE212=1,AND(K211&gt;0,入力設定!$B$8="返済額軽減型",入力設定!$B$11="翌月")),IF(C212=0,D212/MAX(1,E212),D212*(C212/12)/(1-(1+C212/12)^(-MAX(1,E212)))),F211)))</f>
        <v>134858.23151181499</v>
      </c>
      <c r="G212" s="70">
        <f t="shared" ca="1" si="66"/>
        <v>134858.23151181499</v>
      </c>
      <c r="H212" s="70">
        <f t="shared" ca="1" si="67"/>
        <v>59278.464625719935</v>
      </c>
      <c r="I212" s="70">
        <f t="shared" ca="1" si="68"/>
        <v>75579.766886095051</v>
      </c>
      <c r="J212" s="70">
        <f>SUMIFS(入力設定!$G$5:$G$24,入力設定!$F$5:$F$24,A212)</f>
        <v>0</v>
      </c>
      <c r="K212" s="70">
        <f t="shared" ca="1" si="69"/>
        <v>0</v>
      </c>
      <c r="L212" s="70">
        <f ca="1">IF(K212&gt;0,入力設定!$B$9,0)</f>
        <v>0</v>
      </c>
      <c r="M212" s="70">
        <f t="shared" ca="1" si="70"/>
        <v>17707959.620829884</v>
      </c>
      <c r="N212" s="70">
        <f ca="1">IF(M212+AA212&lt;0.000001,0,IF(AND(K212&gt;0,入力設定!$B$8="期間短縮型",AA212&lt;0.000001,F212&gt;M212*C212/12),MAX(1,MIN(E212-1,IF(C212=0,ROUNDUP(M212/F212,0),ROUNDUP(-LN(1-M212*(C212/12)/F212)/LN(1+C212/12),0)))),MAX(1,E212-1)))</f>
        <v>173</v>
      </c>
      <c r="O212" s="70">
        <f t="shared" ca="1" si="71"/>
        <v>134858.23151181499</v>
      </c>
      <c r="P212" s="70">
        <f t="shared" ca="1" si="85"/>
        <v>21475383.515101325</v>
      </c>
      <c r="Q212" s="70">
        <f ca="1">IF(OR(A212&gt;入力設定!$B$6*12,P212+AC212&lt;0.000001),0,IF(P212&lt;0.000001,Q211,IF(AE212=1,IF(C212=0,P212/MAX(1,入力設定!$B$6*12-A212+1),P212*(C212/12)/(1-(1+C212/12)^(-MAX(1,入力設定!$B$6*12-A212+1)))),Q211)))</f>
        <v>140524.47704383376</v>
      </c>
      <c r="R212" s="70">
        <f ca="1">IF(P212+AC212&lt;0.000001,0,IF(A212=入力設定!$B$6*12,P212+AB212+AC212,MIN(Q212,P212+AB212+AC212)))</f>
        <v>140524.47704383376</v>
      </c>
      <c r="S212" s="70">
        <f t="shared" ca="1" si="72"/>
        <v>71584.611717004416</v>
      </c>
      <c r="T212" s="70">
        <f t="shared" ca="1" si="73"/>
        <v>68939.865326829342</v>
      </c>
      <c r="U212" s="70">
        <f t="shared" ca="1" si="74"/>
        <v>21406443.649774496</v>
      </c>
      <c r="V212" s="70">
        <f t="shared" ca="1" si="75"/>
        <v>0</v>
      </c>
      <c r="W212" s="70">
        <f t="shared" ca="1" si="76"/>
        <v>0</v>
      </c>
      <c r="X212" s="70">
        <f t="shared" ca="1" si="77"/>
        <v>0</v>
      </c>
      <c r="Y212" s="71">
        <f t="shared" ca="1" si="78"/>
        <v>59278.464625719935</v>
      </c>
      <c r="Z212" s="71">
        <f t="shared" ca="1" si="86"/>
        <v>0</v>
      </c>
      <c r="AA212" s="71">
        <f t="shared" ca="1" si="79"/>
        <v>0</v>
      </c>
      <c r="AB212" s="71">
        <f t="shared" ca="1" si="80"/>
        <v>71584.611717004416</v>
      </c>
      <c r="AC212" s="71">
        <f t="shared" ca="1" si="87"/>
        <v>0</v>
      </c>
      <c r="AD212" s="71">
        <f t="shared" ca="1" si="81"/>
        <v>0</v>
      </c>
      <c r="AE212" s="72">
        <f t="shared" si="82"/>
        <v>0</v>
      </c>
      <c r="AF212" s="73">
        <f>IF(A212&gt;入力設定!$B$6*12,0,IF(AND(ISNUMBER(C212),C212&gt;=0,C212&lt;=1),0,1))</f>
        <v>0</v>
      </c>
    </row>
    <row r="213" spans="1:32" ht="21" customHeight="1">
      <c r="A213" s="68">
        <f>208</f>
        <v>208</v>
      </c>
      <c r="B213" s="69">
        <f>EDATE(入力設定!$B$7,A213-1)</f>
        <v>52628</v>
      </c>
      <c r="C213" s="80">
        <f>INDEX(入力設定!$C$15:$C$24,INT((A213-1)/60)+1)</f>
        <v>0.04</v>
      </c>
      <c r="D213" s="70">
        <f t="shared" ca="1" si="83"/>
        <v>17707959.620829884</v>
      </c>
      <c r="E213" s="70">
        <f t="shared" ca="1" si="84"/>
        <v>173</v>
      </c>
      <c r="F213" s="70">
        <f ca="1">IF(D213+Z213&lt;0.000001,0,IF(D213&lt;0.000001,F212,IF(OR(AE213=1,AND(K212&gt;0,入力設定!$B$8="返済額軽減型",入力設定!$B$11="翌月")),IF(C213=0,D213/MAX(1,E213),D213*(C213/12)/(1-(1+C213/12)^(-MAX(1,E213)))),F212)))</f>
        <v>134858.23151181499</v>
      </c>
      <c r="G213" s="70">
        <f t="shared" ca="1" si="66"/>
        <v>134858.23151181499</v>
      </c>
      <c r="H213" s="70">
        <f t="shared" ca="1" si="67"/>
        <v>59026.532069432949</v>
      </c>
      <c r="I213" s="70">
        <f t="shared" ca="1" si="68"/>
        <v>75831.699442382029</v>
      </c>
      <c r="J213" s="70">
        <f>SUMIFS(入力設定!$G$5:$G$24,入力設定!$F$5:$F$24,A213)</f>
        <v>0</v>
      </c>
      <c r="K213" s="70">
        <f t="shared" ca="1" si="69"/>
        <v>0</v>
      </c>
      <c r="L213" s="70">
        <f ca="1">IF(K213&gt;0,入力設定!$B$9,0)</f>
        <v>0</v>
      </c>
      <c r="M213" s="70">
        <f t="shared" ca="1" si="70"/>
        <v>17632127.921387501</v>
      </c>
      <c r="N213" s="70">
        <f ca="1">IF(M213+AA213&lt;0.000001,0,IF(AND(K213&gt;0,入力設定!$B$8="期間短縮型",AA213&lt;0.000001,F213&gt;M213*C213/12),MAX(1,MIN(E213-1,IF(C213=0,ROUNDUP(M213/F213,0),ROUNDUP(-LN(1-M213*(C213/12)/F213)/LN(1+C213/12),0)))),MAX(1,E213-1)))</f>
        <v>172</v>
      </c>
      <c r="O213" s="70">
        <f t="shared" ca="1" si="71"/>
        <v>134858.23151181499</v>
      </c>
      <c r="P213" s="70">
        <f t="shared" ca="1" si="85"/>
        <v>21406443.649774496</v>
      </c>
      <c r="Q213" s="70">
        <f ca="1">IF(OR(A213&gt;入力設定!$B$6*12,P213+AC213&lt;0.000001),0,IF(P213&lt;0.000001,Q212,IF(AE213=1,IF(C213=0,P213/MAX(1,入力設定!$B$6*12-A213+1),P213*(C213/12)/(1-(1+C213/12)^(-MAX(1,入力設定!$B$6*12-A213+1)))),Q212)))</f>
        <v>140524.47704383376</v>
      </c>
      <c r="R213" s="70">
        <f ca="1">IF(P213+AC213&lt;0.000001,0,IF(A213=入力設定!$B$6*12,P213+AB213+AC213,MIN(Q213,P213+AB213+AC213)))</f>
        <v>140524.47704383376</v>
      </c>
      <c r="S213" s="70">
        <f t="shared" ca="1" si="72"/>
        <v>71354.812165914991</v>
      </c>
      <c r="T213" s="70">
        <f t="shared" ca="1" si="73"/>
        <v>69169.664877918767</v>
      </c>
      <c r="U213" s="70">
        <f t="shared" ca="1" si="74"/>
        <v>21337273.984896578</v>
      </c>
      <c r="V213" s="70">
        <f t="shared" ca="1" si="75"/>
        <v>0</v>
      </c>
      <c r="W213" s="70">
        <f t="shared" ca="1" si="76"/>
        <v>0</v>
      </c>
      <c r="X213" s="70">
        <f t="shared" ca="1" si="77"/>
        <v>0</v>
      </c>
      <c r="Y213" s="71">
        <f t="shared" ca="1" si="78"/>
        <v>59026.532069432949</v>
      </c>
      <c r="Z213" s="71">
        <f t="shared" ca="1" si="86"/>
        <v>0</v>
      </c>
      <c r="AA213" s="71">
        <f t="shared" ca="1" si="79"/>
        <v>0</v>
      </c>
      <c r="AB213" s="71">
        <f t="shared" ca="1" si="80"/>
        <v>71354.812165914991</v>
      </c>
      <c r="AC213" s="71">
        <f t="shared" ca="1" si="87"/>
        <v>0</v>
      </c>
      <c r="AD213" s="71">
        <f t="shared" ca="1" si="81"/>
        <v>0</v>
      </c>
      <c r="AE213" s="72">
        <f t="shared" si="82"/>
        <v>0</v>
      </c>
      <c r="AF213" s="73">
        <f>IF(A213&gt;入力設定!$B$6*12,0,IF(AND(ISNUMBER(C213),C213&gt;=0,C213&lt;=1),0,1))</f>
        <v>0</v>
      </c>
    </row>
    <row r="214" spans="1:32" ht="21" customHeight="1">
      <c r="A214" s="68">
        <f>209</f>
        <v>209</v>
      </c>
      <c r="B214" s="69">
        <f>EDATE(入力設定!$B$7,A214-1)</f>
        <v>52657</v>
      </c>
      <c r="C214" s="80">
        <f>INDEX(入力設定!$C$15:$C$24,INT((A214-1)/60)+1)</f>
        <v>0.04</v>
      </c>
      <c r="D214" s="70">
        <f t="shared" ca="1" si="83"/>
        <v>17632127.921387501</v>
      </c>
      <c r="E214" s="70">
        <f t="shared" ca="1" si="84"/>
        <v>172</v>
      </c>
      <c r="F214" s="70">
        <f ca="1">IF(D214+Z214&lt;0.000001,0,IF(D214&lt;0.000001,F213,IF(OR(AE214=1,AND(K213&gt;0,入力設定!$B$8="返済額軽減型",入力設定!$B$11="翌月")),IF(C214=0,D214/MAX(1,E214),D214*(C214/12)/(1-(1+C214/12)^(-MAX(1,E214)))),F213)))</f>
        <v>134858.23151181499</v>
      </c>
      <c r="G214" s="70">
        <f t="shared" ca="1" si="66"/>
        <v>134858.23151181499</v>
      </c>
      <c r="H214" s="70">
        <f t="shared" ca="1" si="67"/>
        <v>58773.759737958339</v>
      </c>
      <c r="I214" s="70">
        <f t="shared" ca="1" si="68"/>
        <v>76084.47177385664</v>
      </c>
      <c r="J214" s="70">
        <f>SUMIFS(入力設定!$G$5:$G$24,入力設定!$F$5:$F$24,A214)</f>
        <v>0</v>
      </c>
      <c r="K214" s="70">
        <f t="shared" ca="1" si="69"/>
        <v>0</v>
      </c>
      <c r="L214" s="70">
        <f ca="1">IF(K214&gt;0,入力設定!$B$9,0)</f>
        <v>0</v>
      </c>
      <c r="M214" s="70">
        <f t="shared" ca="1" si="70"/>
        <v>17556043.449613646</v>
      </c>
      <c r="N214" s="70">
        <f ca="1">IF(M214+AA214&lt;0.000001,0,IF(AND(K214&gt;0,入力設定!$B$8="期間短縮型",AA214&lt;0.000001,F214&gt;M214*C214/12),MAX(1,MIN(E214-1,IF(C214=0,ROUNDUP(M214/F214,0),ROUNDUP(-LN(1-M214*(C214/12)/F214)/LN(1+C214/12),0)))),MAX(1,E214-1)))</f>
        <v>171</v>
      </c>
      <c r="O214" s="70">
        <f t="shared" ca="1" si="71"/>
        <v>134858.23151181499</v>
      </c>
      <c r="P214" s="70">
        <f t="shared" ca="1" si="85"/>
        <v>21337273.984896578</v>
      </c>
      <c r="Q214" s="70">
        <f ca="1">IF(OR(A214&gt;入力設定!$B$6*12,P214+AC214&lt;0.000001),0,IF(P214&lt;0.000001,Q213,IF(AE214=1,IF(C214=0,P214/MAX(1,入力設定!$B$6*12-A214+1),P214*(C214/12)/(1-(1+C214/12)^(-MAX(1,入力設定!$B$6*12-A214+1)))),Q213)))</f>
        <v>140524.47704383376</v>
      </c>
      <c r="R214" s="70">
        <f ca="1">IF(P214+AC214&lt;0.000001,0,IF(A214=入力設定!$B$6*12,P214+AB214+AC214,MIN(Q214,P214+AB214+AC214)))</f>
        <v>140524.47704383376</v>
      </c>
      <c r="S214" s="70">
        <f t="shared" ca="1" si="72"/>
        <v>71124.246616321921</v>
      </c>
      <c r="T214" s="70">
        <f t="shared" ca="1" si="73"/>
        <v>69400.230427511837</v>
      </c>
      <c r="U214" s="70">
        <f t="shared" ca="1" si="74"/>
        <v>21267873.754469067</v>
      </c>
      <c r="V214" s="70">
        <f t="shared" ca="1" si="75"/>
        <v>0</v>
      </c>
      <c r="W214" s="70">
        <f t="shared" ca="1" si="76"/>
        <v>0</v>
      </c>
      <c r="X214" s="70">
        <f t="shared" ca="1" si="77"/>
        <v>0</v>
      </c>
      <c r="Y214" s="71">
        <f t="shared" ca="1" si="78"/>
        <v>58773.759737958339</v>
      </c>
      <c r="Z214" s="71">
        <f t="shared" ca="1" si="86"/>
        <v>0</v>
      </c>
      <c r="AA214" s="71">
        <f t="shared" ca="1" si="79"/>
        <v>0</v>
      </c>
      <c r="AB214" s="71">
        <f t="shared" ca="1" si="80"/>
        <v>71124.246616321921</v>
      </c>
      <c r="AC214" s="71">
        <f t="shared" ca="1" si="87"/>
        <v>0</v>
      </c>
      <c r="AD214" s="71">
        <f t="shared" ca="1" si="81"/>
        <v>0</v>
      </c>
      <c r="AE214" s="72">
        <f t="shared" si="82"/>
        <v>0</v>
      </c>
      <c r="AF214" s="73">
        <f>IF(A214&gt;入力設定!$B$6*12,0,IF(AND(ISNUMBER(C214),C214&gt;=0,C214&lt;=1),0,1))</f>
        <v>0</v>
      </c>
    </row>
    <row r="215" spans="1:32" ht="21" customHeight="1">
      <c r="A215" s="68">
        <f>210</f>
        <v>210</v>
      </c>
      <c r="B215" s="69">
        <f>EDATE(入力設定!$B$7,A215-1)</f>
        <v>52688</v>
      </c>
      <c r="C215" s="80">
        <f>INDEX(入力設定!$C$15:$C$24,INT((A215-1)/60)+1)</f>
        <v>0.04</v>
      </c>
      <c r="D215" s="70">
        <f t="shared" ca="1" si="83"/>
        <v>17556043.449613646</v>
      </c>
      <c r="E215" s="70">
        <f t="shared" ca="1" si="84"/>
        <v>171</v>
      </c>
      <c r="F215" s="70">
        <f ca="1">IF(D215+Z215&lt;0.000001,0,IF(D215&lt;0.000001,F214,IF(OR(AE215=1,AND(K214&gt;0,入力設定!$B$8="返済額軽減型",入力設定!$B$11="翌月")),IF(C215=0,D215/MAX(1,E215),D215*(C215/12)/(1-(1+C215/12)^(-MAX(1,E215)))),F214)))</f>
        <v>134858.23151181499</v>
      </c>
      <c r="G215" s="70">
        <f t="shared" ca="1" si="66"/>
        <v>134858.23151181499</v>
      </c>
      <c r="H215" s="70">
        <f t="shared" ca="1" si="67"/>
        <v>58520.144832045487</v>
      </c>
      <c r="I215" s="70">
        <f t="shared" ca="1" si="68"/>
        <v>76338.086679769505</v>
      </c>
      <c r="J215" s="70">
        <f>SUMIFS(入力設定!$G$5:$G$24,入力設定!$F$5:$F$24,A215)</f>
        <v>0</v>
      </c>
      <c r="K215" s="70">
        <f t="shared" ca="1" si="69"/>
        <v>0</v>
      </c>
      <c r="L215" s="70">
        <f ca="1">IF(K215&gt;0,入力設定!$B$9,0)</f>
        <v>0</v>
      </c>
      <c r="M215" s="70">
        <f t="shared" ca="1" si="70"/>
        <v>17479705.362933878</v>
      </c>
      <c r="N215" s="70">
        <f ca="1">IF(M215+AA215&lt;0.000001,0,IF(AND(K215&gt;0,入力設定!$B$8="期間短縮型",AA215&lt;0.000001,F215&gt;M215*C215/12),MAX(1,MIN(E215-1,IF(C215=0,ROUNDUP(M215/F215,0),ROUNDUP(-LN(1-M215*(C215/12)/F215)/LN(1+C215/12),0)))),MAX(1,E215-1)))</f>
        <v>170</v>
      </c>
      <c r="O215" s="70">
        <f t="shared" ca="1" si="71"/>
        <v>134858.23151181499</v>
      </c>
      <c r="P215" s="70">
        <f t="shared" ca="1" si="85"/>
        <v>21267873.754469067</v>
      </c>
      <c r="Q215" s="70">
        <f ca="1">IF(OR(A215&gt;入力設定!$B$6*12,P215+AC215&lt;0.000001),0,IF(P215&lt;0.000001,Q214,IF(AE215=1,IF(C215=0,P215/MAX(1,入力設定!$B$6*12-A215+1),P215*(C215/12)/(1-(1+C215/12)^(-MAX(1,入力設定!$B$6*12-A215+1)))),Q214)))</f>
        <v>140524.47704383376</v>
      </c>
      <c r="R215" s="70">
        <f ca="1">IF(P215+AC215&lt;0.000001,0,IF(A215=入力設定!$B$6*12,P215+AB215+AC215,MIN(Q215,P215+AB215+AC215)))</f>
        <v>140524.47704383376</v>
      </c>
      <c r="S215" s="70">
        <f t="shared" ca="1" si="72"/>
        <v>70892.912514896889</v>
      </c>
      <c r="T215" s="70">
        <f t="shared" ca="1" si="73"/>
        <v>69631.564528936869</v>
      </c>
      <c r="U215" s="70">
        <f t="shared" ca="1" si="74"/>
        <v>21198242.189940128</v>
      </c>
      <c r="V215" s="70">
        <f t="shared" ca="1" si="75"/>
        <v>0</v>
      </c>
      <c r="W215" s="70">
        <f t="shared" ca="1" si="76"/>
        <v>0</v>
      </c>
      <c r="X215" s="70">
        <f t="shared" ca="1" si="77"/>
        <v>0</v>
      </c>
      <c r="Y215" s="71">
        <f t="shared" ca="1" si="78"/>
        <v>58520.144832045487</v>
      </c>
      <c r="Z215" s="71">
        <f t="shared" ca="1" si="86"/>
        <v>0</v>
      </c>
      <c r="AA215" s="71">
        <f t="shared" ca="1" si="79"/>
        <v>0</v>
      </c>
      <c r="AB215" s="71">
        <f t="shared" ca="1" si="80"/>
        <v>70892.912514896889</v>
      </c>
      <c r="AC215" s="71">
        <f t="shared" ca="1" si="87"/>
        <v>0</v>
      </c>
      <c r="AD215" s="71">
        <f t="shared" ca="1" si="81"/>
        <v>0</v>
      </c>
      <c r="AE215" s="72">
        <f t="shared" si="82"/>
        <v>0</v>
      </c>
      <c r="AF215" s="73">
        <f>IF(A215&gt;入力設定!$B$6*12,0,IF(AND(ISNUMBER(C215),C215&gt;=0,C215&lt;=1),0,1))</f>
        <v>0</v>
      </c>
    </row>
    <row r="216" spans="1:32" ht="21" customHeight="1">
      <c r="A216" s="68">
        <f>211</f>
        <v>211</v>
      </c>
      <c r="B216" s="69">
        <f>EDATE(入力設定!$B$7,A216-1)</f>
        <v>52718</v>
      </c>
      <c r="C216" s="80">
        <f>INDEX(入力設定!$C$15:$C$24,INT((A216-1)/60)+1)</f>
        <v>0.04</v>
      </c>
      <c r="D216" s="70">
        <f t="shared" ca="1" si="83"/>
        <v>17479705.362933878</v>
      </c>
      <c r="E216" s="70">
        <f t="shared" ca="1" si="84"/>
        <v>170</v>
      </c>
      <c r="F216" s="70">
        <f ca="1">IF(D216+Z216&lt;0.000001,0,IF(D216&lt;0.000001,F215,IF(OR(AE216=1,AND(K215&gt;0,入力設定!$B$8="返済額軽減型",入力設定!$B$11="翌月")),IF(C216=0,D216/MAX(1,E216),D216*(C216/12)/(1-(1+C216/12)^(-MAX(1,E216)))),F215)))</f>
        <v>134858.23151181499</v>
      </c>
      <c r="G216" s="70">
        <f t="shared" ca="1" si="66"/>
        <v>134858.23151181499</v>
      </c>
      <c r="H216" s="70">
        <f t="shared" ca="1" si="67"/>
        <v>58265.684543112926</v>
      </c>
      <c r="I216" s="70">
        <f t="shared" ca="1" si="68"/>
        <v>76592.546968702052</v>
      </c>
      <c r="J216" s="70">
        <f>SUMIFS(入力設定!$G$5:$G$24,入力設定!$F$5:$F$24,A216)</f>
        <v>0</v>
      </c>
      <c r="K216" s="70">
        <f t="shared" ca="1" si="69"/>
        <v>0</v>
      </c>
      <c r="L216" s="70">
        <f ca="1">IF(K216&gt;0,入力設定!$B$9,0)</f>
        <v>0</v>
      </c>
      <c r="M216" s="70">
        <f t="shared" ca="1" si="70"/>
        <v>17403112.815965176</v>
      </c>
      <c r="N216" s="70">
        <f ca="1">IF(M216+AA216&lt;0.000001,0,IF(AND(K216&gt;0,入力設定!$B$8="期間短縮型",AA216&lt;0.000001,F216&gt;M216*C216/12),MAX(1,MIN(E216-1,IF(C216=0,ROUNDUP(M216/F216,0),ROUNDUP(-LN(1-M216*(C216/12)/F216)/LN(1+C216/12),0)))),MAX(1,E216-1)))</f>
        <v>169</v>
      </c>
      <c r="O216" s="70">
        <f t="shared" ca="1" si="71"/>
        <v>134858.23151181499</v>
      </c>
      <c r="P216" s="70">
        <f t="shared" ca="1" si="85"/>
        <v>21198242.189940128</v>
      </c>
      <c r="Q216" s="70">
        <f ca="1">IF(OR(A216&gt;入力設定!$B$6*12,P216+AC216&lt;0.000001),0,IF(P216&lt;0.000001,Q215,IF(AE216=1,IF(C216=0,P216/MAX(1,入力設定!$B$6*12-A216+1),P216*(C216/12)/(1-(1+C216/12)^(-MAX(1,入力設定!$B$6*12-A216+1)))),Q215)))</f>
        <v>140524.47704383376</v>
      </c>
      <c r="R216" s="70">
        <f ca="1">IF(P216+AC216&lt;0.000001,0,IF(A216=入力設定!$B$6*12,P216+AB216+AC216,MIN(Q216,P216+AB216+AC216)))</f>
        <v>140524.47704383376</v>
      </c>
      <c r="S216" s="70">
        <f t="shared" ca="1" si="72"/>
        <v>70660.807299800435</v>
      </c>
      <c r="T216" s="70">
        <f t="shared" ca="1" si="73"/>
        <v>69863.669744033323</v>
      </c>
      <c r="U216" s="70">
        <f t="shared" ca="1" si="74"/>
        <v>21128378.520196095</v>
      </c>
      <c r="V216" s="70">
        <f t="shared" ca="1" si="75"/>
        <v>0</v>
      </c>
      <c r="W216" s="70">
        <f t="shared" ca="1" si="76"/>
        <v>0</v>
      </c>
      <c r="X216" s="70">
        <f t="shared" ca="1" si="77"/>
        <v>0</v>
      </c>
      <c r="Y216" s="71">
        <f t="shared" ca="1" si="78"/>
        <v>58265.684543112926</v>
      </c>
      <c r="Z216" s="71">
        <f t="shared" ca="1" si="86"/>
        <v>0</v>
      </c>
      <c r="AA216" s="71">
        <f t="shared" ca="1" si="79"/>
        <v>0</v>
      </c>
      <c r="AB216" s="71">
        <f t="shared" ca="1" si="80"/>
        <v>70660.807299800435</v>
      </c>
      <c r="AC216" s="71">
        <f t="shared" ca="1" si="87"/>
        <v>0</v>
      </c>
      <c r="AD216" s="71">
        <f t="shared" ca="1" si="81"/>
        <v>0</v>
      </c>
      <c r="AE216" s="72">
        <f t="shared" si="82"/>
        <v>0</v>
      </c>
      <c r="AF216" s="73">
        <f>IF(A216&gt;入力設定!$B$6*12,0,IF(AND(ISNUMBER(C216),C216&gt;=0,C216&lt;=1),0,1))</f>
        <v>0</v>
      </c>
    </row>
    <row r="217" spans="1:32" ht="21" customHeight="1">
      <c r="A217" s="68">
        <f>212</f>
        <v>212</v>
      </c>
      <c r="B217" s="69">
        <f>EDATE(入力設定!$B$7,A217-1)</f>
        <v>52749</v>
      </c>
      <c r="C217" s="80">
        <f>INDEX(入力設定!$C$15:$C$24,INT((A217-1)/60)+1)</f>
        <v>0.04</v>
      </c>
      <c r="D217" s="70">
        <f t="shared" ca="1" si="83"/>
        <v>17403112.815965176</v>
      </c>
      <c r="E217" s="70">
        <f t="shared" ca="1" si="84"/>
        <v>169</v>
      </c>
      <c r="F217" s="70">
        <f ca="1">IF(D217+Z217&lt;0.000001,0,IF(D217&lt;0.000001,F216,IF(OR(AE217=1,AND(K216&gt;0,入力設定!$B$8="返済額軽減型",入力設定!$B$11="翌月")),IF(C217=0,D217/MAX(1,E217),D217*(C217/12)/(1-(1+C217/12)^(-MAX(1,E217)))),F216)))</f>
        <v>134858.23151181499</v>
      </c>
      <c r="G217" s="70">
        <f t="shared" ca="1" si="66"/>
        <v>134858.23151181499</v>
      </c>
      <c r="H217" s="70">
        <f t="shared" ca="1" si="67"/>
        <v>58010.376053217253</v>
      </c>
      <c r="I217" s="70">
        <f t="shared" ca="1" si="68"/>
        <v>76847.85545859774</v>
      </c>
      <c r="J217" s="70">
        <f>SUMIFS(入力設定!$G$5:$G$24,入力設定!$F$5:$F$24,A217)</f>
        <v>0</v>
      </c>
      <c r="K217" s="70">
        <f t="shared" ca="1" si="69"/>
        <v>0</v>
      </c>
      <c r="L217" s="70">
        <f ca="1">IF(K217&gt;0,入力設定!$B$9,0)</f>
        <v>0</v>
      </c>
      <c r="M217" s="70">
        <f t="shared" ca="1" si="70"/>
        <v>17326264.960506577</v>
      </c>
      <c r="N217" s="70">
        <f ca="1">IF(M217+AA217&lt;0.000001,0,IF(AND(K217&gt;0,入力設定!$B$8="期間短縮型",AA217&lt;0.000001,F217&gt;M217*C217/12),MAX(1,MIN(E217-1,IF(C217=0,ROUNDUP(M217/F217,0),ROUNDUP(-LN(1-M217*(C217/12)/F217)/LN(1+C217/12),0)))),MAX(1,E217-1)))</f>
        <v>168</v>
      </c>
      <c r="O217" s="70">
        <f t="shared" ca="1" si="71"/>
        <v>134858.23151181499</v>
      </c>
      <c r="P217" s="70">
        <f t="shared" ca="1" si="85"/>
        <v>21128378.520196095</v>
      </c>
      <c r="Q217" s="70">
        <f ca="1">IF(OR(A217&gt;入力設定!$B$6*12,P217+AC217&lt;0.000001),0,IF(P217&lt;0.000001,Q216,IF(AE217=1,IF(C217=0,P217/MAX(1,入力設定!$B$6*12-A217+1),P217*(C217/12)/(1-(1+C217/12)^(-MAX(1,入力設定!$B$6*12-A217+1)))),Q216)))</f>
        <v>140524.47704383376</v>
      </c>
      <c r="R217" s="70">
        <f ca="1">IF(P217+AC217&lt;0.000001,0,IF(A217=入力設定!$B$6*12,P217+AB217+AC217,MIN(Q217,P217+AB217+AC217)))</f>
        <v>140524.47704383376</v>
      </c>
      <c r="S217" s="70">
        <f t="shared" ca="1" si="72"/>
        <v>70427.928400653647</v>
      </c>
      <c r="T217" s="70">
        <f t="shared" ca="1" si="73"/>
        <v>70096.548643180111</v>
      </c>
      <c r="U217" s="70">
        <f t="shared" ca="1" si="74"/>
        <v>21058281.971552916</v>
      </c>
      <c r="V217" s="70">
        <f t="shared" ca="1" si="75"/>
        <v>0</v>
      </c>
      <c r="W217" s="70">
        <f t="shared" ca="1" si="76"/>
        <v>0</v>
      </c>
      <c r="X217" s="70">
        <f t="shared" ca="1" si="77"/>
        <v>0</v>
      </c>
      <c r="Y217" s="71">
        <f t="shared" ca="1" si="78"/>
        <v>58010.376053217253</v>
      </c>
      <c r="Z217" s="71">
        <f t="shared" ca="1" si="86"/>
        <v>0</v>
      </c>
      <c r="AA217" s="71">
        <f t="shared" ca="1" si="79"/>
        <v>0</v>
      </c>
      <c r="AB217" s="71">
        <f t="shared" ca="1" si="80"/>
        <v>70427.928400653647</v>
      </c>
      <c r="AC217" s="71">
        <f t="shared" ca="1" si="87"/>
        <v>0</v>
      </c>
      <c r="AD217" s="71">
        <f t="shared" ca="1" si="81"/>
        <v>0</v>
      </c>
      <c r="AE217" s="72">
        <f t="shared" si="82"/>
        <v>0</v>
      </c>
      <c r="AF217" s="73">
        <f>IF(A217&gt;入力設定!$B$6*12,0,IF(AND(ISNUMBER(C217),C217&gt;=0,C217&lt;=1),0,1))</f>
        <v>0</v>
      </c>
    </row>
    <row r="218" spans="1:32" ht="21" customHeight="1">
      <c r="A218" s="68">
        <f>213</f>
        <v>213</v>
      </c>
      <c r="B218" s="69">
        <f>EDATE(入力設定!$B$7,A218-1)</f>
        <v>52779</v>
      </c>
      <c r="C218" s="80">
        <f>INDEX(入力設定!$C$15:$C$24,INT((A218-1)/60)+1)</f>
        <v>0.04</v>
      </c>
      <c r="D218" s="70">
        <f t="shared" ca="1" si="83"/>
        <v>17326264.960506577</v>
      </c>
      <c r="E218" s="70">
        <f t="shared" ca="1" si="84"/>
        <v>168</v>
      </c>
      <c r="F218" s="70">
        <f ca="1">IF(D218+Z218&lt;0.000001,0,IF(D218&lt;0.000001,F217,IF(OR(AE218=1,AND(K217&gt;0,入力設定!$B$8="返済額軽減型",入力設定!$B$11="翌月")),IF(C218=0,D218/MAX(1,E218),D218*(C218/12)/(1-(1+C218/12)^(-MAX(1,E218)))),F217)))</f>
        <v>134858.23151181499</v>
      </c>
      <c r="G218" s="70">
        <f t="shared" ca="1" si="66"/>
        <v>134858.23151181499</v>
      </c>
      <c r="H218" s="70">
        <f t="shared" ca="1" si="67"/>
        <v>57754.216535021929</v>
      </c>
      <c r="I218" s="70">
        <f t="shared" ca="1" si="68"/>
        <v>77104.014976793056</v>
      </c>
      <c r="J218" s="70">
        <f>SUMIFS(入力設定!$G$5:$G$24,入力設定!$F$5:$F$24,A218)</f>
        <v>0</v>
      </c>
      <c r="K218" s="70">
        <f t="shared" ca="1" si="69"/>
        <v>0</v>
      </c>
      <c r="L218" s="70">
        <f ca="1">IF(K218&gt;0,入力設定!$B$9,0)</f>
        <v>0</v>
      </c>
      <c r="M218" s="70">
        <f t="shared" ca="1" si="70"/>
        <v>17249160.945529785</v>
      </c>
      <c r="N218" s="70">
        <f ca="1">IF(M218+AA218&lt;0.000001,0,IF(AND(K218&gt;0,入力設定!$B$8="期間短縮型",AA218&lt;0.000001,F218&gt;M218*C218/12),MAX(1,MIN(E218-1,IF(C218=0,ROUNDUP(M218/F218,0),ROUNDUP(-LN(1-M218*(C218/12)/F218)/LN(1+C218/12),0)))),MAX(1,E218-1)))</f>
        <v>167</v>
      </c>
      <c r="O218" s="70">
        <f t="shared" ca="1" si="71"/>
        <v>134858.23151181499</v>
      </c>
      <c r="P218" s="70">
        <f t="shared" ca="1" si="85"/>
        <v>21058281.971552916</v>
      </c>
      <c r="Q218" s="70">
        <f ca="1">IF(OR(A218&gt;入力設定!$B$6*12,P218+AC218&lt;0.000001),0,IF(P218&lt;0.000001,Q217,IF(AE218=1,IF(C218=0,P218/MAX(1,入力設定!$B$6*12-A218+1),P218*(C218/12)/(1-(1+C218/12)^(-MAX(1,入力設定!$B$6*12-A218+1)))),Q217)))</f>
        <v>140524.47704383376</v>
      </c>
      <c r="R218" s="70">
        <f ca="1">IF(P218+AC218&lt;0.000001,0,IF(A218=入力設定!$B$6*12,P218+AB218+AC218,MIN(Q218,P218+AB218+AC218)))</f>
        <v>140524.47704383376</v>
      </c>
      <c r="S218" s="70">
        <f t="shared" ca="1" si="72"/>
        <v>70194.273238509719</v>
      </c>
      <c r="T218" s="70">
        <f t="shared" ca="1" si="73"/>
        <v>70330.203805324039</v>
      </c>
      <c r="U218" s="70">
        <f t="shared" ca="1" si="74"/>
        <v>20987951.767747592</v>
      </c>
      <c r="V218" s="70">
        <f t="shared" ca="1" si="75"/>
        <v>0</v>
      </c>
      <c r="W218" s="70">
        <f t="shared" ca="1" si="76"/>
        <v>0</v>
      </c>
      <c r="X218" s="70">
        <f t="shared" ca="1" si="77"/>
        <v>0</v>
      </c>
      <c r="Y218" s="71">
        <f t="shared" ca="1" si="78"/>
        <v>57754.216535021929</v>
      </c>
      <c r="Z218" s="71">
        <f t="shared" ca="1" si="86"/>
        <v>0</v>
      </c>
      <c r="AA218" s="71">
        <f t="shared" ca="1" si="79"/>
        <v>0</v>
      </c>
      <c r="AB218" s="71">
        <f t="shared" ca="1" si="80"/>
        <v>70194.273238509719</v>
      </c>
      <c r="AC218" s="71">
        <f t="shared" ca="1" si="87"/>
        <v>0</v>
      </c>
      <c r="AD218" s="71">
        <f t="shared" ca="1" si="81"/>
        <v>0</v>
      </c>
      <c r="AE218" s="72">
        <f t="shared" si="82"/>
        <v>0</v>
      </c>
      <c r="AF218" s="73">
        <f>IF(A218&gt;入力設定!$B$6*12,0,IF(AND(ISNUMBER(C218),C218&gt;=0,C218&lt;=1),0,1))</f>
        <v>0</v>
      </c>
    </row>
    <row r="219" spans="1:32" ht="21" customHeight="1">
      <c r="A219" s="68">
        <f>214</f>
        <v>214</v>
      </c>
      <c r="B219" s="69">
        <f>EDATE(入力設定!$B$7,A219-1)</f>
        <v>52810</v>
      </c>
      <c r="C219" s="80">
        <f>INDEX(入力設定!$C$15:$C$24,INT((A219-1)/60)+1)</f>
        <v>0.04</v>
      </c>
      <c r="D219" s="70">
        <f t="shared" ca="1" si="83"/>
        <v>17249160.945529785</v>
      </c>
      <c r="E219" s="70">
        <f t="shared" ca="1" si="84"/>
        <v>167</v>
      </c>
      <c r="F219" s="70">
        <f ca="1">IF(D219+Z219&lt;0.000001,0,IF(D219&lt;0.000001,F218,IF(OR(AE219=1,AND(K218&gt;0,入力設定!$B$8="返済額軽減型",入力設定!$B$11="翌月")),IF(C219=0,D219/MAX(1,E219),D219*(C219/12)/(1-(1+C219/12)^(-MAX(1,E219)))),F218)))</f>
        <v>134858.23151181499</v>
      </c>
      <c r="G219" s="70">
        <f t="shared" ca="1" si="66"/>
        <v>134858.23151181499</v>
      </c>
      <c r="H219" s="70">
        <f t="shared" ca="1" si="67"/>
        <v>57497.203151765949</v>
      </c>
      <c r="I219" s="70">
        <f t="shared" ca="1" si="68"/>
        <v>77361.028360049037</v>
      </c>
      <c r="J219" s="70">
        <f>SUMIFS(入力設定!$G$5:$G$24,入力設定!$F$5:$F$24,A219)</f>
        <v>0</v>
      </c>
      <c r="K219" s="70">
        <f t="shared" ca="1" si="69"/>
        <v>0</v>
      </c>
      <c r="L219" s="70">
        <f ca="1">IF(K219&gt;0,入力設定!$B$9,0)</f>
        <v>0</v>
      </c>
      <c r="M219" s="70">
        <f t="shared" ca="1" si="70"/>
        <v>17171799.917169735</v>
      </c>
      <c r="N219" s="70">
        <f ca="1">IF(M219+AA219&lt;0.000001,0,IF(AND(K219&gt;0,入力設定!$B$8="期間短縮型",AA219&lt;0.000001,F219&gt;M219*C219/12),MAX(1,MIN(E219-1,IF(C219=0,ROUNDUP(M219/F219,0),ROUNDUP(-LN(1-M219*(C219/12)/F219)/LN(1+C219/12),0)))),MAX(1,E219-1)))</f>
        <v>166</v>
      </c>
      <c r="O219" s="70">
        <f t="shared" ca="1" si="71"/>
        <v>134858.23151181499</v>
      </c>
      <c r="P219" s="70">
        <f t="shared" ca="1" si="85"/>
        <v>20987951.767747592</v>
      </c>
      <c r="Q219" s="70">
        <f ca="1">IF(OR(A219&gt;入力設定!$B$6*12,P219+AC219&lt;0.000001),0,IF(P219&lt;0.000001,Q218,IF(AE219=1,IF(C219=0,P219/MAX(1,入力設定!$B$6*12-A219+1),P219*(C219/12)/(1-(1+C219/12)^(-MAX(1,入力設定!$B$6*12-A219+1)))),Q218)))</f>
        <v>140524.47704383376</v>
      </c>
      <c r="R219" s="70">
        <f ca="1">IF(P219+AC219&lt;0.000001,0,IF(A219=入力設定!$B$6*12,P219+AB219+AC219,MIN(Q219,P219+AB219+AC219)))</f>
        <v>140524.47704383376</v>
      </c>
      <c r="S219" s="70">
        <f t="shared" ca="1" si="72"/>
        <v>69959.839225825315</v>
      </c>
      <c r="T219" s="70">
        <f t="shared" ca="1" si="73"/>
        <v>70564.637818008443</v>
      </c>
      <c r="U219" s="70">
        <f t="shared" ca="1" si="74"/>
        <v>20917387.129929584</v>
      </c>
      <c r="V219" s="70">
        <f t="shared" ca="1" si="75"/>
        <v>0</v>
      </c>
      <c r="W219" s="70">
        <f t="shared" ca="1" si="76"/>
        <v>0</v>
      </c>
      <c r="X219" s="70">
        <f t="shared" ca="1" si="77"/>
        <v>0</v>
      </c>
      <c r="Y219" s="71">
        <f t="shared" ca="1" si="78"/>
        <v>57497.203151765949</v>
      </c>
      <c r="Z219" s="71">
        <f t="shared" ca="1" si="86"/>
        <v>0</v>
      </c>
      <c r="AA219" s="71">
        <f t="shared" ca="1" si="79"/>
        <v>0</v>
      </c>
      <c r="AB219" s="71">
        <f t="shared" ca="1" si="80"/>
        <v>69959.839225825315</v>
      </c>
      <c r="AC219" s="71">
        <f t="shared" ca="1" si="87"/>
        <v>0</v>
      </c>
      <c r="AD219" s="71">
        <f t="shared" ca="1" si="81"/>
        <v>0</v>
      </c>
      <c r="AE219" s="72">
        <f t="shared" si="82"/>
        <v>0</v>
      </c>
      <c r="AF219" s="73">
        <f>IF(A219&gt;入力設定!$B$6*12,0,IF(AND(ISNUMBER(C219),C219&gt;=0,C219&lt;=1),0,1))</f>
        <v>0</v>
      </c>
    </row>
    <row r="220" spans="1:32" ht="21" customHeight="1">
      <c r="A220" s="68">
        <f>215</f>
        <v>215</v>
      </c>
      <c r="B220" s="69">
        <f>EDATE(入力設定!$B$7,A220-1)</f>
        <v>52841</v>
      </c>
      <c r="C220" s="80">
        <f>INDEX(入力設定!$C$15:$C$24,INT((A220-1)/60)+1)</f>
        <v>0.04</v>
      </c>
      <c r="D220" s="70">
        <f t="shared" ca="1" si="83"/>
        <v>17171799.917169735</v>
      </c>
      <c r="E220" s="70">
        <f t="shared" ca="1" si="84"/>
        <v>166</v>
      </c>
      <c r="F220" s="70">
        <f ca="1">IF(D220+Z220&lt;0.000001,0,IF(D220&lt;0.000001,F219,IF(OR(AE220=1,AND(K219&gt;0,入力設定!$B$8="返済額軽減型",入力設定!$B$11="翌月")),IF(C220=0,D220/MAX(1,E220),D220*(C220/12)/(1-(1+C220/12)^(-MAX(1,E220)))),F219)))</f>
        <v>134858.23151181499</v>
      </c>
      <c r="G220" s="70">
        <f t="shared" ca="1" si="66"/>
        <v>134858.23151181499</v>
      </c>
      <c r="H220" s="70">
        <f t="shared" ca="1" si="67"/>
        <v>57239.333057232456</v>
      </c>
      <c r="I220" s="70">
        <f t="shared" ca="1" si="68"/>
        <v>77618.898454582522</v>
      </c>
      <c r="J220" s="70">
        <f>SUMIFS(入力設定!$G$5:$G$24,入力設定!$F$5:$F$24,A220)</f>
        <v>0</v>
      </c>
      <c r="K220" s="70">
        <f t="shared" ca="1" si="69"/>
        <v>0</v>
      </c>
      <c r="L220" s="70">
        <f ca="1">IF(K220&gt;0,入力設定!$B$9,0)</f>
        <v>0</v>
      </c>
      <c r="M220" s="70">
        <f t="shared" ca="1" si="70"/>
        <v>17094181.018715151</v>
      </c>
      <c r="N220" s="70">
        <f ca="1">IF(M220+AA220&lt;0.000001,0,IF(AND(K220&gt;0,入力設定!$B$8="期間短縮型",AA220&lt;0.000001,F220&gt;M220*C220/12),MAX(1,MIN(E220-1,IF(C220=0,ROUNDUP(M220/F220,0),ROUNDUP(-LN(1-M220*(C220/12)/F220)/LN(1+C220/12),0)))),MAX(1,E220-1)))</f>
        <v>165</v>
      </c>
      <c r="O220" s="70">
        <f t="shared" ca="1" si="71"/>
        <v>134858.23151181499</v>
      </c>
      <c r="P220" s="70">
        <f t="shared" ca="1" si="85"/>
        <v>20917387.129929584</v>
      </c>
      <c r="Q220" s="70">
        <f ca="1">IF(OR(A220&gt;入力設定!$B$6*12,P220+AC220&lt;0.000001),0,IF(P220&lt;0.000001,Q219,IF(AE220=1,IF(C220=0,P220/MAX(1,入力設定!$B$6*12-A220+1),P220*(C220/12)/(1-(1+C220/12)^(-MAX(1,入力設定!$B$6*12-A220+1)))),Q219)))</f>
        <v>140524.47704383376</v>
      </c>
      <c r="R220" s="70">
        <f ca="1">IF(P220+AC220&lt;0.000001,0,IF(A220=入力設定!$B$6*12,P220+AB220+AC220,MIN(Q220,P220+AB220+AC220)))</f>
        <v>140524.47704383376</v>
      </c>
      <c r="S220" s="70">
        <f t="shared" ca="1" si="72"/>
        <v>69724.623766431949</v>
      </c>
      <c r="T220" s="70">
        <f t="shared" ca="1" si="73"/>
        <v>70799.853277401809</v>
      </c>
      <c r="U220" s="70">
        <f t="shared" ca="1" si="74"/>
        <v>20846587.276652183</v>
      </c>
      <c r="V220" s="70">
        <f t="shared" ca="1" si="75"/>
        <v>0</v>
      </c>
      <c r="W220" s="70">
        <f t="shared" ca="1" si="76"/>
        <v>0</v>
      </c>
      <c r="X220" s="70">
        <f t="shared" ca="1" si="77"/>
        <v>0</v>
      </c>
      <c r="Y220" s="71">
        <f t="shared" ca="1" si="78"/>
        <v>57239.333057232456</v>
      </c>
      <c r="Z220" s="71">
        <f t="shared" ca="1" si="86"/>
        <v>0</v>
      </c>
      <c r="AA220" s="71">
        <f t="shared" ca="1" si="79"/>
        <v>0</v>
      </c>
      <c r="AB220" s="71">
        <f t="shared" ca="1" si="80"/>
        <v>69724.623766431949</v>
      </c>
      <c r="AC220" s="71">
        <f t="shared" ca="1" si="87"/>
        <v>0</v>
      </c>
      <c r="AD220" s="71">
        <f t="shared" ca="1" si="81"/>
        <v>0</v>
      </c>
      <c r="AE220" s="72">
        <f t="shared" si="82"/>
        <v>0</v>
      </c>
      <c r="AF220" s="73">
        <f>IF(A220&gt;入力設定!$B$6*12,0,IF(AND(ISNUMBER(C220),C220&gt;=0,C220&lt;=1),0,1))</f>
        <v>0</v>
      </c>
    </row>
    <row r="221" spans="1:32" ht="21" customHeight="1">
      <c r="A221" s="68">
        <f>216</f>
        <v>216</v>
      </c>
      <c r="B221" s="69">
        <f>EDATE(入力設定!$B$7,A221-1)</f>
        <v>52871</v>
      </c>
      <c r="C221" s="80">
        <f>INDEX(入力設定!$C$15:$C$24,INT((A221-1)/60)+1)</f>
        <v>0.04</v>
      </c>
      <c r="D221" s="70">
        <f t="shared" ca="1" si="83"/>
        <v>17094181.018715151</v>
      </c>
      <c r="E221" s="70">
        <f t="shared" ca="1" si="84"/>
        <v>165</v>
      </c>
      <c r="F221" s="70">
        <f ca="1">IF(D221+Z221&lt;0.000001,0,IF(D221&lt;0.000001,F220,IF(OR(AE221=1,AND(K220&gt;0,入力設定!$B$8="返済額軽減型",入力設定!$B$11="翌月")),IF(C221=0,D221/MAX(1,E221),D221*(C221/12)/(1-(1+C221/12)^(-MAX(1,E221)))),F220)))</f>
        <v>134858.23151181499</v>
      </c>
      <c r="G221" s="70">
        <f t="shared" ca="1" si="66"/>
        <v>134858.23151181499</v>
      </c>
      <c r="H221" s="70">
        <f t="shared" ca="1" si="67"/>
        <v>56980.603395717168</v>
      </c>
      <c r="I221" s="70">
        <f t="shared" ca="1" si="68"/>
        <v>77877.628116097825</v>
      </c>
      <c r="J221" s="70">
        <f>SUMIFS(入力設定!$G$5:$G$24,入力設定!$F$5:$F$24,A221)</f>
        <v>0</v>
      </c>
      <c r="K221" s="70">
        <f t="shared" ca="1" si="69"/>
        <v>0</v>
      </c>
      <c r="L221" s="70">
        <f ca="1">IF(K221&gt;0,入力設定!$B$9,0)</f>
        <v>0</v>
      </c>
      <c r="M221" s="70">
        <f t="shared" ca="1" si="70"/>
        <v>17016303.390599053</v>
      </c>
      <c r="N221" s="70">
        <f ca="1">IF(M221+AA221&lt;0.000001,0,IF(AND(K221&gt;0,入力設定!$B$8="期間短縮型",AA221&lt;0.000001,F221&gt;M221*C221/12),MAX(1,MIN(E221-1,IF(C221=0,ROUNDUP(M221/F221,0),ROUNDUP(-LN(1-M221*(C221/12)/F221)/LN(1+C221/12),0)))),MAX(1,E221-1)))</f>
        <v>164</v>
      </c>
      <c r="O221" s="70">
        <f t="shared" ca="1" si="71"/>
        <v>134858.23151181499</v>
      </c>
      <c r="P221" s="70">
        <f t="shared" ca="1" si="85"/>
        <v>20846587.276652183</v>
      </c>
      <c r="Q221" s="70">
        <f ca="1">IF(OR(A221&gt;入力設定!$B$6*12,P221+AC221&lt;0.000001),0,IF(P221&lt;0.000001,Q220,IF(AE221=1,IF(C221=0,P221/MAX(1,入力設定!$B$6*12-A221+1),P221*(C221/12)/(1-(1+C221/12)^(-MAX(1,入力設定!$B$6*12-A221+1)))),Q220)))</f>
        <v>140524.47704383376</v>
      </c>
      <c r="R221" s="70">
        <f ca="1">IF(P221+AC221&lt;0.000001,0,IF(A221=入力設定!$B$6*12,P221+AB221+AC221,MIN(Q221,P221+AB221+AC221)))</f>
        <v>140524.47704383376</v>
      </c>
      <c r="S221" s="70">
        <f t="shared" ca="1" si="72"/>
        <v>69488.624255507282</v>
      </c>
      <c r="T221" s="70">
        <f t="shared" ca="1" si="73"/>
        <v>71035.852788326476</v>
      </c>
      <c r="U221" s="70">
        <f t="shared" ca="1" si="74"/>
        <v>20775551.423863858</v>
      </c>
      <c r="V221" s="70">
        <f t="shared" ca="1" si="75"/>
        <v>0</v>
      </c>
      <c r="W221" s="70">
        <f t="shared" ca="1" si="76"/>
        <v>0</v>
      </c>
      <c r="X221" s="70">
        <f t="shared" ca="1" si="77"/>
        <v>0</v>
      </c>
      <c r="Y221" s="71">
        <f t="shared" ca="1" si="78"/>
        <v>56980.603395717168</v>
      </c>
      <c r="Z221" s="71">
        <f t="shared" ca="1" si="86"/>
        <v>0</v>
      </c>
      <c r="AA221" s="71">
        <f t="shared" ca="1" si="79"/>
        <v>0</v>
      </c>
      <c r="AB221" s="71">
        <f t="shared" ca="1" si="80"/>
        <v>69488.624255507282</v>
      </c>
      <c r="AC221" s="71">
        <f t="shared" ca="1" si="87"/>
        <v>0</v>
      </c>
      <c r="AD221" s="71">
        <f t="shared" ca="1" si="81"/>
        <v>0</v>
      </c>
      <c r="AE221" s="72">
        <f t="shared" si="82"/>
        <v>0</v>
      </c>
      <c r="AF221" s="73">
        <f>IF(A221&gt;入力設定!$B$6*12,0,IF(AND(ISNUMBER(C221),C221&gt;=0,C221&lt;=1),0,1))</f>
        <v>0</v>
      </c>
    </row>
    <row r="222" spans="1:32" ht="21" customHeight="1">
      <c r="A222" s="68">
        <f>217</f>
        <v>217</v>
      </c>
      <c r="B222" s="69">
        <f>EDATE(入力設定!$B$7,A222-1)</f>
        <v>52902</v>
      </c>
      <c r="C222" s="80">
        <f>INDEX(入力設定!$C$15:$C$24,INT((A222-1)/60)+1)</f>
        <v>0.04</v>
      </c>
      <c r="D222" s="70">
        <f t="shared" ca="1" si="83"/>
        <v>17016303.390599053</v>
      </c>
      <c r="E222" s="70">
        <f t="shared" ca="1" si="84"/>
        <v>164</v>
      </c>
      <c r="F222" s="70">
        <f ca="1">IF(D222+Z222&lt;0.000001,0,IF(D222&lt;0.000001,F221,IF(OR(AE222=1,AND(K221&gt;0,入力設定!$B$8="返済額軽減型",入力設定!$B$11="翌月")),IF(C222=0,D222/MAX(1,E222),D222*(C222/12)/(1-(1+C222/12)^(-MAX(1,E222)))),F221)))</f>
        <v>134858.23151181499</v>
      </c>
      <c r="G222" s="70">
        <f t="shared" ca="1" si="66"/>
        <v>134858.23151181499</v>
      </c>
      <c r="H222" s="70">
        <f t="shared" ca="1" si="67"/>
        <v>56721.011301996848</v>
      </c>
      <c r="I222" s="70">
        <f t="shared" ca="1" si="68"/>
        <v>78137.22020981813</v>
      </c>
      <c r="J222" s="70">
        <f>SUMIFS(入力設定!$G$5:$G$24,入力設定!$F$5:$F$24,A222)</f>
        <v>0</v>
      </c>
      <c r="K222" s="70">
        <f t="shared" ca="1" si="69"/>
        <v>0</v>
      </c>
      <c r="L222" s="70">
        <f ca="1">IF(K222&gt;0,入力設定!$B$9,0)</f>
        <v>0</v>
      </c>
      <c r="M222" s="70">
        <f t="shared" ca="1" si="70"/>
        <v>16938166.170389235</v>
      </c>
      <c r="N222" s="70">
        <f ca="1">IF(M222+AA222&lt;0.000001,0,IF(AND(K222&gt;0,入力設定!$B$8="期間短縮型",AA222&lt;0.000001,F222&gt;M222*C222/12),MAX(1,MIN(E222-1,IF(C222=0,ROUNDUP(M222/F222,0),ROUNDUP(-LN(1-M222*(C222/12)/F222)/LN(1+C222/12),0)))),MAX(1,E222-1)))</f>
        <v>163</v>
      </c>
      <c r="O222" s="70">
        <f t="shared" ca="1" si="71"/>
        <v>134858.23151181499</v>
      </c>
      <c r="P222" s="70">
        <f t="shared" ca="1" si="85"/>
        <v>20775551.423863858</v>
      </c>
      <c r="Q222" s="70">
        <f ca="1">IF(OR(A222&gt;入力設定!$B$6*12,P222+AC222&lt;0.000001),0,IF(P222&lt;0.000001,Q221,IF(AE222=1,IF(C222=0,P222/MAX(1,入力設定!$B$6*12-A222+1),P222*(C222/12)/(1-(1+C222/12)^(-MAX(1,入力設定!$B$6*12-A222+1)))),Q221)))</f>
        <v>140524.47704383376</v>
      </c>
      <c r="R222" s="70">
        <f ca="1">IF(P222+AC222&lt;0.000001,0,IF(A222=入力設定!$B$6*12,P222+AB222+AC222,MIN(Q222,P222+AB222+AC222)))</f>
        <v>140524.47704383376</v>
      </c>
      <c r="S222" s="70">
        <f t="shared" ca="1" si="72"/>
        <v>69251.838079546185</v>
      </c>
      <c r="T222" s="70">
        <f t="shared" ca="1" si="73"/>
        <v>71272.638964287573</v>
      </c>
      <c r="U222" s="70">
        <f t="shared" ca="1" si="74"/>
        <v>20704278.78489957</v>
      </c>
      <c r="V222" s="70">
        <f t="shared" ca="1" si="75"/>
        <v>0</v>
      </c>
      <c r="W222" s="70">
        <f t="shared" ca="1" si="76"/>
        <v>0</v>
      </c>
      <c r="X222" s="70">
        <f t="shared" ca="1" si="77"/>
        <v>0</v>
      </c>
      <c r="Y222" s="71">
        <f t="shared" ca="1" si="78"/>
        <v>56721.011301996848</v>
      </c>
      <c r="Z222" s="71">
        <f t="shared" ca="1" si="86"/>
        <v>0</v>
      </c>
      <c r="AA222" s="71">
        <f t="shared" ca="1" si="79"/>
        <v>0</v>
      </c>
      <c r="AB222" s="71">
        <f t="shared" ca="1" si="80"/>
        <v>69251.838079546185</v>
      </c>
      <c r="AC222" s="71">
        <f t="shared" ca="1" si="87"/>
        <v>0</v>
      </c>
      <c r="AD222" s="71">
        <f t="shared" ca="1" si="81"/>
        <v>0</v>
      </c>
      <c r="AE222" s="72">
        <f t="shared" si="82"/>
        <v>0</v>
      </c>
      <c r="AF222" s="73">
        <f>IF(A222&gt;入力設定!$B$6*12,0,IF(AND(ISNUMBER(C222),C222&gt;=0,C222&lt;=1),0,1))</f>
        <v>0</v>
      </c>
    </row>
    <row r="223" spans="1:32" ht="21" customHeight="1">
      <c r="A223" s="68">
        <f>218</f>
        <v>218</v>
      </c>
      <c r="B223" s="69">
        <f>EDATE(入力設定!$B$7,A223-1)</f>
        <v>52932</v>
      </c>
      <c r="C223" s="80">
        <f>INDEX(入力設定!$C$15:$C$24,INT((A223-1)/60)+1)</f>
        <v>0.04</v>
      </c>
      <c r="D223" s="70">
        <f t="shared" ca="1" si="83"/>
        <v>16938166.170389235</v>
      </c>
      <c r="E223" s="70">
        <f t="shared" ca="1" si="84"/>
        <v>163</v>
      </c>
      <c r="F223" s="70">
        <f ca="1">IF(D223+Z223&lt;0.000001,0,IF(D223&lt;0.000001,F222,IF(OR(AE223=1,AND(K222&gt;0,入力設定!$B$8="返済額軽減型",入力設定!$B$11="翌月")),IF(C223=0,D223/MAX(1,E223),D223*(C223/12)/(1-(1+C223/12)^(-MAX(1,E223)))),F222)))</f>
        <v>134858.23151181499</v>
      </c>
      <c r="G223" s="70">
        <f t="shared" ca="1" si="66"/>
        <v>134858.23151181499</v>
      </c>
      <c r="H223" s="70">
        <f t="shared" ca="1" si="67"/>
        <v>56460.553901297448</v>
      </c>
      <c r="I223" s="70">
        <f t="shared" ca="1" si="68"/>
        <v>78397.677610517538</v>
      </c>
      <c r="J223" s="70">
        <f>SUMIFS(入力設定!$G$5:$G$24,入力設定!$F$5:$F$24,A223)</f>
        <v>0</v>
      </c>
      <c r="K223" s="70">
        <f t="shared" ca="1" si="69"/>
        <v>0</v>
      </c>
      <c r="L223" s="70">
        <f ca="1">IF(K223&gt;0,入力設定!$B$9,0)</f>
        <v>0</v>
      </c>
      <c r="M223" s="70">
        <f t="shared" ca="1" si="70"/>
        <v>16859768.492778718</v>
      </c>
      <c r="N223" s="70">
        <f ca="1">IF(M223+AA223&lt;0.000001,0,IF(AND(K223&gt;0,入力設定!$B$8="期間短縮型",AA223&lt;0.000001,F223&gt;M223*C223/12),MAX(1,MIN(E223-1,IF(C223=0,ROUNDUP(M223/F223,0),ROUNDUP(-LN(1-M223*(C223/12)/F223)/LN(1+C223/12),0)))),MAX(1,E223-1)))</f>
        <v>162</v>
      </c>
      <c r="O223" s="70">
        <f t="shared" ca="1" si="71"/>
        <v>134858.23151181499</v>
      </c>
      <c r="P223" s="70">
        <f t="shared" ca="1" si="85"/>
        <v>20704278.78489957</v>
      </c>
      <c r="Q223" s="70">
        <f ca="1">IF(OR(A223&gt;入力設定!$B$6*12,P223+AC223&lt;0.000001),0,IF(P223&lt;0.000001,Q222,IF(AE223=1,IF(C223=0,P223/MAX(1,入力設定!$B$6*12-A223+1),P223*(C223/12)/(1-(1+C223/12)^(-MAX(1,入力設定!$B$6*12-A223+1)))),Q222)))</f>
        <v>140524.47704383376</v>
      </c>
      <c r="R223" s="70">
        <f ca="1">IF(P223+AC223&lt;0.000001,0,IF(A223=入力設定!$B$6*12,P223+AB223+AC223,MIN(Q223,P223+AB223+AC223)))</f>
        <v>140524.47704383376</v>
      </c>
      <c r="S223" s="70">
        <f t="shared" ca="1" si="72"/>
        <v>69014.262616331907</v>
      </c>
      <c r="T223" s="70">
        <f t="shared" ca="1" si="73"/>
        <v>71510.214427501851</v>
      </c>
      <c r="U223" s="70">
        <f t="shared" ca="1" si="74"/>
        <v>20632768.570472069</v>
      </c>
      <c r="V223" s="70">
        <f t="shared" ca="1" si="75"/>
        <v>0</v>
      </c>
      <c r="W223" s="70">
        <f t="shared" ca="1" si="76"/>
        <v>0</v>
      </c>
      <c r="X223" s="70">
        <f t="shared" ca="1" si="77"/>
        <v>0</v>
      </c>
      <c r="Y223" s="71">
        <f t="shared" ca="1" si="78"/>
        <v>56460.553901297448</v>
      </c>
      <c r="Z223" s="71">
        <f t="shared" ca="1" si="86"/>
        <v>0</v>
      </c>
      <c r="AA223" s="71">
        <f t="shared" ca="1" si="79"/>
        <v>0</v>
      </c>
      <c r="AB223" s="71">
        <f t="shared" ca="1" si="80"/>
        <v>69014.262616331907</v>
      </c>
      <c r="AC223" s="71">
        <f t="shared" ca="1" si="87"/>
        <v>0</v>
      </c>
      <c r="AD223" s="71">
        <f t="shared" ca="1" si="81"/>
        <v>0</v>
      </c>
      <c r="AE223" s="72">
        <f t="shared" si="82"/>
        <v>0</v>
      </c>
      <c r="AF223" s="73">
        <f>IF(A223&gt;入力設定!$B$6*12,0,IF(AND(ISNUMBER(C223),C223&gt;=0,C223&lt;=1),0,1))</f>
        <v>0</v>
      </c>
    </row>
    <row r="224" spans="1:32" ht="21" customHeight="1">
      <c r="A224" s="68">
        <f>219</f>
        <v>219</v>
      </c>
      <c r="B224" s="69">
        <f>EDATE(入力設定!$B$7,A224-1)</f>
        <v>52963</v>
      </c>
      <c r="C224" s="80">
        <f>INDEX(入力設定!$C$15:$C$24,INT((A224-1)/60)+1)</f>
        <v>0.04</v>
      </c>
      <c r="D224" s="70">
        <f t="shared" ca="1" si="83"/>
        <v>16859768.492778718</v>
      </c>
      <c r="E224" s="70">
        <f t="shared" ca="1" si="84"/>
        <v>162</v>
      </c>
      <c r="F224" s="70">
        <f ca="1">IF(D224+Z224&lt;0.000001,0,IF(D224&lt;0.000001,F223,IF(OR(AE224=1,AND(K223&gt;0,入力設定!$B$8="返済額軽減型",入力設定!$B$11="翌月")),IF(C224=0,D224/MAX(1,E224),D224*(C224/12)/(1-(1+C224/12)^(-MAX(1,E224)))),F223)))</f>
        <v>134858.23151181499</v>
      </c>
      <c r="G224" s="70">
        <f t="shared" ca="1" si="66"/>
        <v>134858.23151181499</v>
      </c>
      <c r="H224" s="70">
        <f t="shared" ca="1" si="67"/>
        <v>56199.228309262398</v>
      </c>
      <c r="I224" s="70">
        <f t="shared" ca="1" si="68"/>
        <v>78659.003202552587</v>
      </c>
      <c r="J224" s="70">
        <f>SUMIFS(入力設定!$G$5:$G$24,入力設定!$F$5:$F$24,A224)</f>
        <v>0</v>
      </c>
      <c r="K224" s="70">
        <f t="shared" ca="1" si="69"/>
        <v>0</v>
      </c>
      <c r="L224" s="70">
        <f ca="1">IF(K224&gt;0,入力設定!$B$9,0)</f>
        <v>0</v>
      </c>
      <c r="M224" s="70">
        <f t="shared" ca="1" si="70"/>
        <v>16781109.489576165</v>
      </c>
      <c r="N224" s="70">
        <f ca="1">IF(M224+AA224&lt;0.000001,0,IF(AND(K224&gt;0,入力設定!$B$8="期間短縮型",AA224&lt;0.000001,F224&gt;M224*C224/12),MAX(1,MIN(E224-1,IF(C224=0,ROUNDUP(M224/F224,0),ROUNDUP(-LN(1-M224*(C224/12)/F224)/LN(1+C224/12),0)))),MAX(1,E224-1)))</f>
        <v>161</v>
      </c>
      <c r="O224" s="70">
        <f t="shared" ca="1" si="71"/>
        <v>134858.23151181499</v>
      </c>
      <c r="P224" s="70">
        <f t="shared" ca="1" si="85"/>
        <v>20632768.570472069</v>
      </c>
      <c r="Q224" s="70">
        <f ca="1">IF(OR(A224&gt;入力設定!$B$6*12,P224+AC224&lt;0.000001),0,IF(P224&lt;0.000001,Q223,IF(AE224=1,IF(C224=0,P224/MAX(1,入力設定!$B$6*12-A224+1),P224*(C224/12)/(1-(1+C224/12)^(-MAX(1,入力設定!$B$6*12-A224+1)))),Q223)))</f>
        <v>140524.47704383376</v>
      </c>
      <c r="R224" s="70">
        <f ca="1">IF(P224+AC224&lt;0.000001,0,IF(A224=入力設定!$B$6*12,P224+AB224+AC224,MIN(Q224,P224+AB224+AC224)))</f>
        <v>140524.47704383376</v>
      </c>
      <c r="S224" s="70">
        <f t="shared" ca="1" si="72"/>
        <v>68775.8952349069</v>
      </c>
      <c r="T224" s="70">
        <f t="shared" ca="1" si="73"/>
        <v>71748.581808926858</v>
      </c>
      <c r="U224" s="70">
        <f t="shared" ca="1" si="74"/>
        <v>20561019.988663141</v>
      </c>
      <c r="V224" s="70">
        <f t="shared" ca="1" si="75"/>
        <v>0</v>
      </c>
      <c r="W224" s="70">
        <f t="shared" ca="1" si="76"/>
        <v>0</v>
      </c>
      <c r="X224" s="70">
        <f t="shared" ca="1" si="77"/>
        <v>0</v>
      </c>
      <c r="Y224" s="71">
        <f t="shared" ca="1" si="78"/>
        <v>56199.228309262398</v>
      </c>
      <c r="Z224" s="71">
        <f t="shared" ca="1" si="86"/>
        <v>0</v>
      </c>
      <c r="AA224" s="71">
        <f t="shared" ca="1" si="79"/>
        <v>0</v>
      </c>
      <c r="AB224" s="71">
        <f t="shared" ca="1" si="80"/>
        <v>68775.8952349069</v>
      </c>
      <c r="AC224" s="71">
        <f t="shared" ca="1" si="87"/>
        <v>0</v>
      </c>
      <c r="AD224" s="71">
        <f t="shared" ca="1" si="81"/>
        <v>0</v>
      </c>
      <c r="AE224" s="72">
        <f t="shared" si="82"/>
        <v>0</v>
      </c>
      <c r="AF224" s="73">
        <f>IF(A224&gt;入力設定!$B$6*12,0,IF(AND(ISNUMBER(C224),C224&gt;=0,C224&lt;=1),0,1))</f>
        <v>0</v>
      </c>
    </row>
    <row r="225" spans="1:32" ht="21" customHeight="1">
      <c r="A225" s="68">
        <f>220</f>
        <v>220</v>
      </c>
      <c r="B225" s="69">
        <f>EDATE(入力設定!$B$7,A225-1)</f>
        <v>52994</v>
      </c>
      <c r="C225" s="80">
        <f>INDEX(入力設定!$C$15:$C$24,INT((A225-1)/60)+1)</f>
        <v>0.04</v>
      </c>
      <c r="D225" s="70">
        <f t="shared" ca="1" si="83"/>
        <v>16781109.489576165</v>
      </c>
      <c r="E225" s="70">
        <f t="shared" ca="1" si="84"/>
        <v>161</v>
      </c>
      <c r="F225" s="70">
        <f ca="1">IF(D225+Z225&lt;0.000001,0,IF(D225&lt;0.000001,F224,IF(OR(AE225=1,AND(K224&gt;0,入力設定!$B$8="返済額軽減型",入力設定!$B$11="翌月")),IF(C225=0,D225/MAX(1,E225),D225*(C225/12)/(1-(1+C225/12)^(-MAX(1,E225)))),F224)))</f>
        <v>134858.23151181499</v>
      </c>
      <c r="G225" s="70">
        <f t="shared" ca="1" si="66"/>
        <v>134858.23151181499</v>
      </c>
      <c r="H225" s="70">
        <f t="shared" ca="1" si="67"/>
        <v>55937.031631920552</v>
      </c>
      <c r="I225" s="70">
        <f t="shared" ca="1" si="68"/>
        <v>78921.199879894441</v>
      </c>
      <c r="J225" s="70">
        <f>SUMIFS(入力設定!$G$5:$G$24,入力設定!$F$5:$F$24,A225)</f>
        <v>0</v>
      </c>
      <c r="K225" s="70">
        <f t="shared" ca="1" si="69"/>
        <v>0</v>
      </c>
      <c r="L225" s="70">
        <f ca="1">IF(K225&gt;0,入力設定!$B$9,0)</f>
        <v>0</v>
      </c>
      <c r="M225" s="70">
        <f t="shared" ca="1" si="70"/>
        <v>16702188.289696271</v>
      </c>
      <c r="N225" s="70">
        <f ca="1">IF(M225+AA225&lt;0.000001,0,IF(AND(K225&gt;0,入力設定!$B$8="期間短縮型",AA225&lt;0.000001,F225&gt;M225*C225/12),MAX(1,MIN(E225-1,IF(C225=0,ROUNDUP(M225/F225,0),ROUNDUP(-LN(1-M225*(C225/12)/F225)/LN(1+C225/12),0)))),MAX(1,E225-1)))</f>
        <v>160</v>
      </c>
      <c r="O225" s="70">
        <f t="shared" ca="1" si="71"/>
        <v>134858.23151181499</v>
      </c>
      <c r="P225" s="70">
        <f t="shared" ca="1" si="85"/>
        <v>20561019.988663141</v>
      </c>
      <c r="Q225" s="70">
        <f ca="1">IF(OR(A225&gt;入力設定!$B$6*12,P225+AC225&lt;0.000001),0,IF(P225&lt;0.000001,Q224,IF(AE225=1,IF(C225=0,P225/MAX(1,入力設定!$B$6*12-A225+1),P225*(C225/12)/(1-(1+C225/12)^(-MAX(1,入力設定!$B$6*12-A225+1)))),Q224)))</f>
        <v>140524.47704383376</v>
      </c>
      <c r="R225" s="70">
        <f ca="1">IF(P225+AC225&lt;0.000001,0,IF(A225=入力設定!$B$6*12,P225+AB225+AC225,MIN(Q225,P225+AB225+AC225)))</f>
        <v>140524.47704383376</v>
      </c>
      <c r="S225" s="70">
        <f t="shared" ca="1" si="72"/>
        <v>68536.733295543803</v>
      </c>
      <c r="T225" s="70">
        <f t="shared" ca="1" si="73"/>
        <v>71987.743748289955</v>
      </c>
      <c r="U225" s="70">
        <f t="shared" ca="1" si="74"/>
        <v>20489032.244914852</v>
      </c>
      <c r="V225" s="70">
        <f t="shared" ca="1" si="75"/>
        <v>0</v>
      </c>
      <c r="W225" s="70">
        <f t="shared" ca="1" si="76"/>
        <v>0</v>
      </c>
      <c r="X225" s="70">
        <f t="shared" ca="1" si="77"/>
        <v>0</v>
      </c>
      <c r="Y225" s="71">
        <f t="shared" ca="1" si="78"/>
        <v>55937.031631920552</v>
      </c>
      <c r="Z225" s="71">
        <f t="shared" ca="1" si="86"/>
        <v>0</v>
      </c>
      <c r="AA225" s="71">
        <f t="shared" ca="1" si="79"/>
        <v>0</v>
      </c>
      <c r="AB225" s="71">
        <f t="shared" ca="1" si="80"/>
        <v>68536.733295543803</v>
      </c>
      <c r="AC225" s="71">
        <f t="shared" ca="1" si="87"/>
        <v>0</v>
      </c>
      <c r="AD225" s="71">
        <f t="shared" ca="1" si="81"/>
        <v>0</v>
      </c>
      <c r="AE225" s="72">
        <f t="shared" si="82"/>
        <v>0</v>
      </c>
      <c r="AF225" s="73">
        <f>IF(A225&gt;入力設定!$B$6*12,0,IF(AND(ISNUMBER(C225),C225&gt;=0,C225&lt;=1),0,1))</f>
        <v>0</v>
      </c>
    </row>
    <row r="226" spans="1:32" ht="21" customHeight="1">
      <c r="A226" s="68">
        <f>221</f>
        <v>221</v>
      </c>
      <c r="B226" s="69">
        <f>EDATE(入力設定!$B$7,A226-1)</f>
        <v>53022</v>
      </c>
      <c r="C226" s="80">
        <f>INDEX(入力設定!$C$15:$C$24,INT((A226-1)/60)+1)</f>
        <v>0.04</v>
      </c>
      <c r="D226" s="70">
        <f t="shared" ca="1" si="83"/>
        <v>16702188.289696271</v>
      </c>
      <c r="E226" s="70">
        <f t="shared" ca="1" si="84"/>
        <v>160</v>
      </c>
      <c r="F226" s="70">
        <f ca="1">IF(D226+Z226&lt;0.000001,0,IF(D226&lt;0.000001,F225,IF(OR(AE226=1,AND(K225&gt;0,入力設定!$B$8="返済額軽減型",入力設定!$B$11="翌月")),IF(C226=0,D226/MAX(1,E226),D226*(C226/12)/(1-(1+C226/12)^(-MAX(1,E226)))),F225)))</f>
        <v>134858.23151181499</v>
      </c>
      <c r="G226" s="70">
        <f t="shared" ca="1" si="66"/>
        <v>134858.23151181499</v>
      </c>
      <c r="H226" s="70">
        <f t="shared" ca="1" si="67"/>
        <v>55673.960965654238</v>
      </c>
      <c r="I226" s="70">
        <f t="shared" ca="1" si="68"/>
        <v>79184.270546160755</v>
      </c>
      <c r="J226" s="70">
        <f>SUMIFS(入力設定!$G$5:$G$24,入力設定!$F$5:$F$24,A226)</f>
        <v>0</v>
      </c>
      <c r="K226" s="70">
        <f t="shared" ca="1" si="69"/>
        <v>0</v>
      </c>
      <c r="L226" s="70">
        <f ca="1">IF(K226&gt;0,入力設定!$B$9,0)</f>
        <v>0</v>
      </c>
      <c r="M226" s="70">
        <f t="shared" ca="1" si="70"/>
        <v>16623004.01915011</v>
      </c>
      <c r="N226" s="70">
        <f ca="1">IF(M226+AA226&lt;0.000001,0,IF(AND(K226&gt;0,入力設定!$B$8="期間短縮型",AA226&lt;0.000001,F226&gt;M226*C226/12),MAX(1,MIN(E226-1,IF(C226=0,ROUNDUP(M226/F226,0),ROUNDUP(-LN(1-M226*(C226/12)/F226)/LN(1+C226/12),0)))),MAX(1,E226-1)))</f>
        <v>159</v>
      </c>
      <c r="O226" s="70">
        <f t="shared" ca="1" si="71"/>
        <v>134858.23151181499</v>
      </c>
      <c r="P226" s="70">
        <f t="shared" ca="1" si="85"/>
        <v>20489032.244914852</v>
      </c>
      <c r="Q226" s="70">
        <f ca="1">IF(OR(A226&gt;入力設定!$B$6*12,P226+AC226&lt;0.000001),0,IF(P226&lt;0.000001,Q225,IF(AE226=1,IF(C226=0,P226/MAX(1,入力設定!$B$6*12-A226+1),P226*(C226/12)/(1-(1+C226/12)^(-MAX(1,入力設定!$B$6*12-A226+1)))),Q225)))</f>
        <v>140524.47704383376</v>
      </c>
      <c r="R226" s="70">
        <f ca="1">IF(P226+AC226&lt;0.000001,0,IF(A226=入力設定!$B$6*12,P226+AB226+AC226,MIN(Q226,P226+AB226+AC226)))</f>
        <v>140524.47704383376</v>
      </c>
      <c r="S226" s="70">
        <f t="shared" ca="1" si="72"/>
        <v>68296.774149716177</v>
      </c>
      <c r="T226" s="70">
        <f t="shared" ca="1" si="73"/>
        <v>72227.702894117581</v>
      </c>
      <c r="U226" s="70">
        <f t="shared" ca="1" si="74"/>
        <v>20416804.542020734</v>
      </c>
      <c r="V226" s="70">
        <f t="shared" ca="1" si="75"/>
        <v>0</v>
      </c>
      <c r="W226" s="70">
        <f t="shared" ca="1" si="76"/>
        <v>0</v>
      </c>
      <c r="X226" s="70">
        <f t="shared" ca="1" si="77"/>
        <v>0</v>
      </c>
      <c r="Y226" s="71">
        <f t="shared" ca="1" si="78"/>
        <v>55673.960965654238</v>
      </c>
      <c r="Z226" s="71">
        <f t="shared" ca="1" si="86"/>
        <v>0</v>
      </c>
      <c r="AA226" s="71">
        <f t="shared" ca="1" si="79"/>
        <v>0</v>
      </c>
      <c r="AB226" s="71">
        <f t="shared" ca="1" si="80"/>
        <v>68296.774149716177</v>
      </c>
      <c r="AC226" s="71">
        <f t="shared" ca="1" si="87"/>
        <v>0</v>
      </c>
      <c r="AD226" s="71">
        <f t="shared" ca="1" si="81"/>
        <v>0</v>
      </c>
      <c r="AE226" s="72">
        <f t="shared" si="82"/>
        <v>0</v>
      </c>
      <c r="AF226" s="73">
        <f>IF(A226&gt;入力設定!$B$6*12,0,IF(AND(ISNUMBER(C226),C226&gt;=0,C226&lt;=1),0,1))</f>
        <v>0</v>
      </c>
    </row>
    <row r="227" spans="1:32" ht="21" customHeight="1">
      <c r="A227" s="68">
        <f>222</f>
        <v>222</v>
      </c>
      <c r="B227" s="69">
        <f>EDATE(入力設定!$B$7,A227-1)</f>
        <v>53053</v>
      </c>
      <c r="C227" s="80">
        <f>INDEX(入力設定!$C$15:$C$24,INT((A227-1)/60)+1)</f>
        <v>0.04</v>
      </c>
      <c r="D227" s="70">
        <f t="shared" ca="1" si="83"/>
        <v>16623004.01915011</v>
      </c>
      <c r="E227" s="70">
        <f t="shared" ca="1" si="84"/>
        <v>159</v>
      </c>
      <c r="F227" s="70">
        <f ca="1">IF(D227+Z227&lt;0.000001,0,IF(D227&lt;0.000001,F226,IF(OR(AE227=1,AND(K226&gt;0,入力設定!$B$8="返済額軽減型",入力設定!$B$11="翌月")),IF(C227=0,D227/MAX(1,E227),D227*(C227/12)/(1-(1+C227/12)^(-MAX(1,E227)))),F226)))</f>
        <v>134858.23151181499</v>
      </c>
      <c r="G227" s="70">
        <f t="shared" ca="1" si="66"/>
        <v>134858.23151181499</v>
      </c>
      <c r="H227" s="70">
        <f t="shared" ca="1" si="67"/>
        <v>55410.013397167037</v>
      </c>
      <c r="I227" s="70">
        <f t="shared" ca="1" si="68"/>
        <v>79448.218114647956</v>
      </c>
      <c r="J227" s="70">
        <f>SUMIFS(入力設定!$G$5:$G$24,入力設定!$F$5:$F$24,A227)</f>
        <v>0</v>
      </c>
      <c r="K227" s="70">
        <f t="shared" ca="1" si="69"/>
        <v>0</v>
      </c>
      <c r="L227" s="70">
        <f ca="1">IF(K227&gt;0,入力設定!$B$9,0)</f>
        <v>0</v>
      </c>
      <c r="M227" s="70">
        <f t="shared" ca="1" si="70"/>
        <v>16543555.801035462</v>
      </c>
      <c r="N227" s="70">
        <f ca="1">IF(M227+AA227&lt;0.000001,0,IF(AND(K227&gt;0,入力設定!$B$8="期間短縮型",AA227&lt;0.000001,F227&gt;M227*C227/12),MAX(1,MIN(E227-1,IF(C227=0,ROUNDUP(M227/F227,0),ROUNDUP(-LN(1-M227*(C227/12)/F227)/LN(1+C227/12),0)))),MAX(1,E227-1)))</f>
        <v>158</v>
      </c>
      <c r="O227" s="70">
        <f t="shared" ca="1" si="71"/>
        <v>134858.23151181499</v>
      </c>
      <c r="P227" s="70">
        <f t="shared" ca="1" si="85"/>
        <v>20416804.542020734</v>
      </c>
      <c r="Q227" s="70">
        <f ca="1">IF(OR(A227&gt;入力設定!$B$6*12,P227+AC227&lt;0.000001),0,IF(P227&lt;0.000001,Q226,IF(AE227=1,IF(C227=0,P227/MAX(1,入力設定!$B$6*12-A227+1),P227*(C227/12)/(1-(1+C227/12)^(-MAX(1,入力設定!$B$6*12-A227+1)))),Q226)))</f>
        <v>140524.47704383376</v>
      </c>
      <c r="R227" s="70">
        <f ca="1">IF(P227+AC227&lt;0.000001,0,IF(A227=入力設定!$B$6*12,P227+AB227+AC227,MIN(Q227,P227+AB227+AC227)))</f>
        <v>140524.47704383376</v>
      </c>
      <c r="S227" s="70">
        <f t="shared" ca="1" si="72"/>
        <v>68056.01514006911</v>
      </c>
      <c r="T227" s="70">
        <f t="shared" ca="1" si="73"/>
        <v>72468.461903764648</v>
      </c>
      <c r="U227" s="70">
        <f t="shared" ca="1" si="74"/>
        <v>20344336.080116969</v>
      </c>
      <c r="V227" s="70">
        <f t="shared" ca="1" si="75"/>
        <v>0</v>
      </c>
      <c r="W227" s="70">
        <f t="shared" ca="1" si="76"/>
        <v>0</v>
      </c>
      <c r="X227" s="70">
        <f t="shared" ca="1" si="77"/>
        <v>0</v>
      </c>
      <c r="Y227" s="71">
        <f t="shared" ca="1" si="78"/>
        <v>55410.013397167037</v>
      </c>
      <c r="Z227" s="71">
        <f t="shared" ca="1" si="86"/>
        <v>0</v>
      </c>
      <c r="AA227" s="71">
        <f t="shared" ca="1" si="79"/>
        <v>0</v>
      </c>
      <c r="AB227" s="71">
        <f t="shared" ca="1" si="80"/>
        <v>68056.01514006911</v>
      </c>
      <c r="AC227" s="71">
        <f t="shared" ca="1" si="87"/>
        <v>0</v>
      </c>
      <c r="AD227" s="71">
        <f t="shared" ca="1" si="81"/>
        <v>0</v>
      </c>
      <c r="AE227" s="72">
        <f t="shared" si="82"/>
        <v>0</v>
      </c>
      <c r="AF227" s="73">
        <f>IF(A227&gt;入力設定!$B$6*12,0,IF(AND(ISNUMBER(C227),C227&gt;=0,C227&lt;=1),0,1))</f>
        <v>0</v>
      </c>
    </row>
    <row r="228" spans="1:32" ht="21" customHeight="1">
      <c r="A228" s="68">
        <f>223</f>
        <v>223</v>
      </c>
      <c r="B228" s="69">
        <f>EDATE(入力設定!$B$7,A228-1)</f>
        <v>53083</v>
      </c>
      <c r="C228" s="80">
        <f>INDEX(入力設定!$C$15:$C$24,INT((A228-1)/60)+1)</f>
        <v>0.04</v>
      </c>
      <c r="D228" s="70">
        <f t="shared" ca="1" si="83"/>
        <v>16543555.801035462</v>
      </c>
      <c r="E228" s="70">
        <f t="shared" ca="1" si="84"/>
        <v>158</v>
      </c>
      <c r="F228" s="70">
        <f ca="1">IF(D228+Z228&lt;0.000001,0,IF(D228&lt;0.000001,F227,IF(OR(AE228=1,AND(K227&gt;0,入力設定!$B$8="返済額軽減型",入力設定!$B$11="翌月")),IF(C228=0,D228/MAX(1,E228),D228*(C228/12)/(1-(1+C228/12)^(-MAX(1,E228)))),F227)))</f>
        <v>134858.23151181499</v>
      </c>
      <c r="G228" s="70">
        <f t="shared" ca="1" si="66"/>
        <v>134858.23151181499</v>
      </c>
      <c r="H228" s="70">
        <f t="shared" ca="1" si="67"/>
        <v>55145.186003451534</v>
      </c>
      <c r="I228" s="70">
        <f t="shared" ca="1" si="68"/>
        <v>79713.045508363459</v>
      </c>
      <c r="J228" s="70">
        <f>SUMIFS(入力設定!$G$5:$G$24,入力設定!$F$5:$F$24,A228)</f>
        <v>0</v>
      </c>
      <c r="K228" s="70">
        <f t="shared" ca="1" si="69"/>
        <v>0</v>
      </c>
      <c r="L228" s="70">
        <f ca="1">IF(K228&gt;0,入力設定!$B$9,0)</f>
        <v>0</v>
      </c>
      <c r="M228" s="70">
        <f t="shared" ca="1" si="70"/>
        <v>16463842.755527098</v>
      </c>
      <c r="N228" s="70">
        <f ca="1">IF(M228+AA228&lt;0.000001,0,IF(AND(K228&gt;0,入力設定!$B$8="期間短縮型",AA228&lt;0.000001,F228&gt;M228*C228/12),MAX(1,MIN(E228-1,IF(C228=0,ROUNDUP(M228/F228,0),ROUNDUP(-LN(1-M228*(C228/12)/F228)/LN(1+C228/12),0)))),MAX(1,E228-1)))</f>
        <v>157</v>
      </c>
      <c r="O228" s="70">
        <f t="shared" ca="1" si="71"/>
        <v>134858.23151181499</v>
      </c>
      <c r="P228" s="70">
        <f t="shared" ca="1" si="85"/>
        <v>20344336.080116969</v>
      </c>
      <c r="Q228" s="70">
        <f ca="1">IF(OR(A228&gt;入力設定!$B$6*12,P228+AC228&lt;0.000001),0,IF(P228&lt;0.000001,Q227,IF(AE228=1,IF(C228=0,P228/MAX(1,入力設定!$B$6*12-A228+1),P228*(C228/12)/(1-(1+C228/12)^(-MAX(1,入力設定!$B$6*12-A228+1)))),Q227)))</f>
        <v>140524.47704383376</v>
      </c>
      <c r="R228" s="70">
        <f ca="1">IF(P228+AC228&lt;0.000001,0,IF(A228=入力設定!$B$6*12,P228+AB228+AC228,MIN(Q228,P228+AB228+AC228)))</f>
        <v>140524.47704383376</v>
      </c>
      <c r="S228" s="70">
        <f t="shared" ca="1" si="72"/>
        <v>67814.453600389897</v>
      </c>
      <c r="T228" s="70">
        <f t="shared" ca="1" si="73"/>
        <v>72710.023443443861</v>
      </c>
      <c r="U228" s="70">
        <f t="shared" ca="1" si="74"/>
        <v>20271626.056673523</v>
      </c>
      <c r="V228" s="70">
        <f t="shared" ca="1" si="75"/>
        <v>0</v>
      </c>
      <c r="W228" s="70">
        <f t="shared" ca="1" si="76"/>
        <v>0</v>
      </c>
      <c r="X228" s="70">
        <f t="shared" ca="1" si="77"/>
        <v>0</v>
      </c>
      <c r="Y228" s="71">
        <f t="shared" ca="1" si="78"/>
        <v>55145.186003451534</v>
      </c>
      <c r="Z228" s="71">
        <f t="shared" ca="1" si="86"/>
        <v>0</v>
      </c>
      <c r="AA228" s="71">
        <f t="shared" ca="1" si="79"/>
        <v>0</v>
      </c>
      <c r="AB228" s="71">
        <f t="shared" ca="1" si="80"/>
        <v>67814.453600389897</v>
      </c>
      <c r="AC228" s="71">
        <f t="shared" ca="1" si="87"/>
        <v>0</v>
      </c>
      <c r="AD228" s="71">
        <f t="shared" ca="1" si="81"/>
        <v>0</v>
      </c>
      <c r="AE228" s="72">
        <f t="shared" si="82"/>
        <v>0</v>
      </c>
      <c r="AF228" s="73">
        <f>IF(A228&gt;入力設定!$B$6*12,0,IF(AND(ISNUMBER(C228),C228&gt;=0,C228&lt;=1),0,1))</f>
        <v>0</v>
      </c>
    </row>
    <row r="229" spans="1:32" ht="21" customHeight="1">
      <c r="A229" s="68">
        <f>224</f>
        <v>224</v>
      </c>
      <c r="B229" s="69">
        <f>EDATE(入力設定!$B$7,A229-1)</f>
        <v>53114</v>
      </c>
      <c r="C229" s="80">
        <f>INDEX(入力設定!$C$15:$C$24,INT((A229-1)/60)+1)</f>
        <v>0.04</v>
      </c>
      <c r="D229" s="70">
        <f t="shared" ca="1" si="83"/>
        <v>16463842.755527098</v>
      </c>
      <c r="E229" s="70">
        <f t="shared" ca="1" si="84"/>
        <v>157</v>
      </c>
      <c r="F229" s="70">
        <f ca="1">IF(D229+Z229&lt;0.000001,0,IF(D229&lt;0.000001,F228,IF(OR(AE229=1,AND(K228&gt;0,入力設定!$B$8="返済額軽減型",入力設定!$B$11="翌月")),IF(C229=0,D229/MAX(1,E229),D229*(C229/12)/(1-(1+C229/12)^(-MAX(1,E229)))),F228)))</f>
        <v>134858.23151181499</v>
      </c>
      <c r="G229" s="70">
        <f t="shared" ca="1" si="66"/>
        <v>134858.23151181499</v>
      </c>
      <c r="H229" s="70">
        <f t="shared" ca="1" si="67"/>
        <v>54879.475851756994</v>
      </c>
      <c r="I229" s="70">
        <f t="shared" ca="1" si="68"/>
        <v>79978.755660057999</v>
      </c>
      <c r="J229" s="70">
        <f>SUMIFS(入力設定!$G$5:$G$24,入力設定!$F$5:$F$24,A229)</f>
        <v>0</v>
      </c>
      <c r="K229" s="70">
        <f t="shared" ca="1" si="69"/>
        <v>0</v>
      </c>
      <c r="L229" s="70">
        <f ca="1">IF(K229&gt;0,入力設定!$B$9,0)</f>
        <v>0</v>
      </c>
      <c r="M229" s="70">
        <f t="shared" ca="1" si="70"/>
        <v>16383863.999867041</v>
      </c>
      <c r="N229" s="70">
        <f ca="1">IF(M229+AA229&lt;0.000001,0,IF(AND(K229&gt;0,入力設定!$B$8="期間短縮型",AA229&lt;0.000001,F229&gt;M229*C229/12),MAX(1,MIN(E229-1,IF(C229=0,ROUNDUP(M229/F229,0),ROUNDUP(-LN(1-M229*(C229/12)/F229)/LN(1+C229/12),0)))),MAX(1,E229-1)))</f>
        <v>156</v>
      </c>
      <c r="O229" s="70">
        <f t="shared" ca="1" si="71"/>
        <v>134858.23151181499</v>
      </c>
      <c r="P229" s="70">
        <f t="shared" ca="1" si="85"/>
        <v>20271626.056673523</v>
      </c>
      <c r="Q229" s="70">
        <f ca="1">IF(OR(A229&gt;入力設定!$B$6*12,P229+AC229&lt;0.000001),0,IF(P229&lt;0.000001,Q228,IF(AE229=1,IF(C229=0,P229/MAX(1,入力設定!$B$6*12-A229+1),P229*(C229/12)/(1-(1+C229/12)^(-MAX(1,入力設定!$B$6*12-A229+1)))),Q228)))</f>
        <v>140524.47704383376</v>
      </c>
      <c r="R229" s="70">
        <f ca="1">IF(P229+AC229&lt;0.000001,0,IF(A229=入力設定!$B$6*12,P229+AB229+AC229,MIN(Q229,P229+AB229+AC229)))</f>
        <v>140524.47704383376</v>
      </c>
      <c r="S229" s="70">
        <f t="shared" ca="1" si="72"/>
        <v>67572.086855578411</v>
      </c>
      <c r="T229" s="70">
        <f t="shared" ca="1" si="73"/>
        <v>72952.390188255347</v>
      </c>
      <c r="U229" s="70">
        <f t="shared" ca="1" si="74"/>
        <v>20198673.666485269</v>
      </c>
      <c r="V229" s="70">
        <f t="shared" ca="1" si="75"/>
        <v>0</v>
      </c>
      <c r="W229" s="70">
        <f t="shared" ca="1" si="76"/>
        <v>0</v>
      </c>
      <c r="X229" s="70">
        <f t="shared" ca="1" si="77"/>
        <v>0</v>
      </c>
      <c r="Y229" s="71">
        <f t="shared" ca="1" si="78"/>
        <v>54879.475851756994</v>
      </c>
      <c r="Z229" s="71">
        <f t="shared" ca="1" si="86"/>
        <v>0</v>
      </c>
      <c r="AA229" s="71">
        <f t="shared" ca="1" si="79"/>
        <v>0</v>
      </c>
      <c r="AB229" s="71">
        <f t="shared" ca="1" si="80"/>
        <v>67572.086855578411</v>
      </c>
      <c r="AC229" s="71">
        <f t="shared" ca="1" si="87"/>
        <v>0</v>
      </c>
      <c r="AD229" s="71">
        <f t="shared" ca="1" si="81"/>
        <v>0</v>
      </c>
      <c r="AE229" s="72">
        <f t="shared" si="82"/>
        <v>0</v>
      </c>
      <c r="AF229" s="73">
        <f>IF(A229&gt;入力設定!$B$6*12,0,IF(AND(ISNUMBER(C229),C229&gt;=0,C229&lt;=1),0,1))</f>
        <v>0</v>
      </c>
    </row>
    <row r="230" spans="1:32" ht="21" customHeight="1">
      <c r="A230" s="68">
        <f>225</f>
        <v>225</v>
      </c>
      <c r="B230" s="69">
        <f>EDATE(入力設定!$B$7,A230-1)</f>
        <v>53144</v>
      </c>
      <c r="C230" s="80">
        <f>INDEX(入力設定!$C$15:$C$24,INT((A230-1)/60)+1)</f>
        <v>0.04</v>
      </c>
      <c r="D230" s="70">
        <f t="shared" ca="1" si="83"/>
        <v>16383863.999867041</v>
      </c>
      <c r="E230" s="70">
        <f t="shared" ca="1" si="84"/>
        <v>156</v>
      </c>
      <c r="F230" s="70">
        <f ca="1">IF(D230+Z230&lt;0.000001,0,IF(D230&lt;0.000001,F229,IF(OR(AE230=1,AND(K229&gt;0,入力設定!$B$8="返済額軽減型",入力設定!$B$11="翌月")),IF(C230=0,D230/MAX(1,E230),D230*(C230/12)/(1-(1+C230/12)^(-MAX(1,E230)))),F229)))</f>
        <v>134858.23151181499</v>
      </c>
      <c r="G230" s="70">
        <f t="shared" ca="1" si="66"/>
        <v>134858.23151181499</v>
      </c>
      <c r="H230" s="70">
        <f t="shared" ca="1" si="67"/>
        <v>54612.879999556804</v>
      </c>
      <c r="I230" s="70">
        <f t="shared" ca="1" si="68"/>
        <v>80245.351512258174</v>
      </c>
      <c r="J230" s="70">
        <f>SUMIFS(入力設定!$G$5:$G$24,入力設定!$F$5:$F$24,A230)</f>
        <v>0</v>
      </c>
      <c r="K230" s="70">
        <f t="shared" ca="1" si="69"/>
        <v>0</v>
      </c>
      <c r="L230" s="70">
        <f ca="1">IF(K230&gt;0,入力設定!$B$9,0)</f>
        <v>0</v>
      </c>
      <c r="M230" s="70">
        <f t="shared" ca="1" si="70"/>
        <v>16303618.648354782</v>
      </c>
      <c r="N230" s="70">
        <f ca="1">IF(M230+AA230&lt;0.000001,0,IF(AND(K230&gt;0,入力設定!$B$8="期間短縮型",AA230&lt;0.000001,F230&gt;M230*C230/12),MAX(1,MIN(E230-1,IF(C230=0,ROUNDUP(M230/F230,0),ROUNDUP(-LN(1-M230*(C230/12)/F230)/LN(1+C230/12),0)))),MAX(1,E230-1)))</f>
        <v>155</v>
      </c>
      <c r="O230" s="70">
        <f t="shared" ca="1" si="71"/>
        <v>134858.23151181499</v>
      </c>
      <c r="P230" s="70">
        <f t="shared" ca="1" si="85"/>
        <v>20198673.666485269</v>
      </c>
      <c r="Q230" s="70">
        <f ca="1">IF(OR(A230&gt;入力設定!$B$6*12,P230+AC230&lt;0.000001),0,IF(P230&lt;0.000001,Q229,IF(AE230=1,IF(C230=0,P230/MAX(1,入力設定!$B$6*12-A230+1),P230*(C230/12)/(1-(1+C230/12)^(-MAX(1,入力設定!$B$6*12-A230+1)))),Q229)))</f>
        <v>140524.47704383376</v>
      </c>
      <c r="R230" s="70">
        <f ca="1">IF(P230+AC230&lt;0.000001,0,IF(A230=入力設定!$B$6*12,P230+AB230+AC230,MIN(Q230,P230+AB230+AC230)))</f>
        <v>140524.47704383376</v>
      </c>
      <c r="S230" s="70">
        <f t="shared" ca="1" si="72"/>
        <v>67328.91222161756</v>
      </c>
      <c r="T230" s="70">
        <f t="shared" ca="1" si="73"/>
        <v>73195.564822216198</v>
      </c>
      <c r="U230" s="70">
        <f t="shared" ca="1" si="74"/>
        <v>20125478.101663053</v>
      </c>
      <c r="V230" s="70">
        <f t="shared" ca="1" si="75"/>
        <v>0</v>
      </c>
      <c r="W230" s="70">
        <f t="shared" ca="1" si="76"/>
        <v>0</v>
      </c>
      <c r="X230" s="70">
        <f t="shared" ca="1" si="77"/>
        <v>0</v>
      </c>
      <c r="Y230" s="71">
        <f t="shared" ca="1" si="78"/>
        <v>54612.879999556804</v>
      </c>
      <c r="Z230" s="71">
        <f t="shared" ca="1" si="86"/>
        <v>0</v>
      </c>
      <c r="AA230" s="71">
        <f t="shared" ca="1" si="79"/>
        <v>0</v>
      </c>
      <c r="AB230" s="71">
        <f t="shared" ca="1" si="80"/>
        <v>67328.91222161756</v>
      </c>
      <c r="AC230" s="71">
        <f t="shared" ca="1" si="87"/>
        <v>0</v>
      </c>
      <c r="AD230" s="71">
        <f t="shared" ca="1" si="81"/>
        <v>0</v>
      </c>
      <c r="AE230" s="72">
        <f t="shared" si="82"/>
        <v>0</v>
      </c>
      <c r="AF230" s="73">
        <f>IF(A230&gt;入力設定!$B$6*12,0,IF(AND(ISNUMBER(C230),C230&gt;=0,C230&lt;=1),0,1))</f>
        <v>0</v>
      </c>
    </row>
    <row r="231" spans="1:32" ht="21" customHeight="1">
      <c r="A231" s="68">
        <f>226</f>
        <v>226</v>
      </c>
      <c r="B231" s="69">
        <f>EDATE(入力設定!$B$7,A231-1)</f>
        <v>53175</v>
      </c>
      <c r="C231" s="80">
        <f>INDEX(入力設定!$C$15:$C$24,INT((A231-1)/60)+1)</f>
        <v>0.04</v>
      </c>
      <c r="D231" s="70">
        <f t="shared" ca="1" si="83"/>
        <v>16303618.648354782</v>
      </c>
      <c r="E231" s="70">
        <f t="shared" ca="1" si="84"/>
        <v>155</v>
      </c>
      <c r="F231" s="70">
        <f ca="1">IF(D231+Z231&lt;0.000001,0,IF(D231&lt;0.000001,F230,IF(OR(AE231=1,AND(K230&gt;0,入力設定!$B$8="返済額軽減型",入力設定!$B$11="翌月")),IF(C231=0,D231/MAX(1,E231),D231*(C231/12)/(1-(1+C231/12)^(-MAX(1,E231)))),F230)))</f>
        <v>134858.23151181499</v>
      </c>
      <c r="G231" s="70">
        <f t="shared" ca="1" si="66"/>
        <v>134858.23151181499</v>
      </c>
      <c r="H231" s="70">
        <f t="shared" ca="1" si="67"/>
        <v>54345.395494515942</v>
      </c>
      <c r="I231" s="70">
        <f t="shared" ca="1" si="68"/>
        <v>80512.836017299036</v>
      </c>
      <c r="J231" s="70">
        <f>SUMIFS(入力設定!$G$5:$G$24,入力設定!$F$5:$F$24,A231)</f>
        <v>0</v>
      </c>
      <c r="K231" s="70">
        <f t="shared" ca="1" si="69"/>
        <v>0</v>
      </c>
      <c r="L231" s="70">
        <f ca="1">IF(K231&gt;0,入力設定!$B$9,0)</f>
        <v>0</v>
      </c>
      <c r="M231" s="70">
        <f t="shared" ca="1" si="70"/>
        <v>16223105.812337482</v>
      </c>
      <c r="N231" s="70">
        <f ca="1">IF(M231+AA231&lt;0.000001,0,IF(AND(K231&gt;0,入力設定!$B$8="期間短縮型",AA231&lt;0.000001,F231&gt;M231*C231/12),MAX(1,MIN(E231-1,IF(C231=0,ROUNDUP(M231/F231,0),ROUNDUP(-LN(1-M231*(C231/12)/F231)/LN(1+C231/12),0)))),MAX(1,E231-1)))</f>
        <v>154</v>
      </c>
      <c r="O231" s="70">
        <f t="shared" ca="1" si="71"/>
        <v>134858.23151181499</v>
      </c>
      <c r="P231" s="70">
        <f t="shared" ca="1" si="85"/>
        <v>20125478.101663053</v>
      </c>
      <c r="Q231" s="70">
        <f ca="1">IF(OR(A231&gt;入力設定!$B$6*12,P231+AC231&lt;0.000001),0,IF(P231&lt;0.000001,Q230,IF(AE231=1,IF(C231=0,P231/MAX(1,入力設定!$B$6*12-A231+1),P231*(C231/12)/(1-(1+C231/12)^(-MAX(1,入力設定!$B$6*12-A231+1)))),Q230)))</f>
        <v>140524.47704383376</v>
      </c>
      <c r="R231" s="70">
        <f ca="1">IF(P231+AC231&lt;0.000001,0,IF(A231=入力設定!$B$6*12,P231+AB231+AC231,MIN(Q231,P231+AB231+AC231)))</f>
        <v>140524.47704383376</v>
      </c>
      <c r="S231" s="70">
        <f t="shared" ca="1" si="72"/>
        <v>67084.927005543504</v>
      </c>
      <c r="T231" s="70">
        <f t="shared" ca="1" si="73"/>
        <v>73439.550038290254</v>
      </c>
      <c r="U231" s="70">
        <f t="shared" ca="1" si="74"/>
        <v>20052038.551624764</v>
      </c>
      <c r="V231" s="70">
        <f t="shared" ca="1" si="75"/>
        <v>0</v>
      </c>
      <c r="W231" s="70">
        <f t="shared" ca="1" si="76"/>
        <v>0</v>
      </c>
      <c r="X231" s="70">
        <f t="shared" ca="1" si="77"/>
        <v>0</v>
      </c>
      <c r="Y231" s="71">
        <f t="shared" ca="1" si="78"/>
        <v>54345.395494515942</v>
      </c>
      <c r="Z231" s="71">
        <f t="shared" ca="1" si="86"/>
        <v>0</v>
      </c>
      <c r="AA231" s="71">
        <f t="shared" ca="1" si="79"/>
        <v>0</v>
      </c>
      <c r="AB231" s="71">
        <f t="shared" ca="1" si="80"/>
        <v>67084.927005543504</v>
      </c>
      <c r="AC231" s="71">
        <f t="shared" ca="1" si="87"/>
        <v>0</v>
      </c>
      <c r="AD231" s="71">
        <f t="shared" ca="1" si="81"/>
        <v>0</v>
      </c>
      <c r="AE231" s="72">
        <f t="shared" si="82"/>
        <v>0</v>
      </c>
      <c r="AF231" s="73">
        <f>IF(A231&gt;入力設定!$B$6*12,0,IF(AND(ISNUMBER(C231),C231&gt;=0,C231&lt;=1),0,1))</f>
        <v>0</v>
      </c>
    </row>
    <row r="232" spans="1:32" ht="21" customHeight="1">
      <c r="A232" s="68">
        <f>227</f>
        <v>227</v>
      </c>
      <c r="B232" s="69">
        <f>EDATE(入力設定!$B$7,A232-1)</f>
        <v>53206</v>
      </c>
      <c r="C232" s="80">
        <f>INDEX(入力設定!$C$15:$C$24,INT((A232-1)/60)+1)</f>
        <v>0.04</v>
      </c>
      <c r="D232" s="70">
        <f t="shared" ca="1" si="83"/>
        <v>16223105.812337482</v>
      </c>
      <c r="E232" s="70">
        <f t="shared" ca="1" si="84"/>
        <v>154</v>
      </c>
      <c r="F232" s="70">
        <f ca="1">IF(D232+Z232&lt;0.000001,0,IF(D232&lt;0.000001,F231,IF(OR(AE232=1,AND(K231&gt;0,入力設定!$B$8="返済額軽減型",入力設定!$B$11="翌月")),IF(C232=0,D232/MAX(1,E232),D232*(C232/12)/(1-(1+C232/12)^(-MAX(1,E232)))),F231)))</f>
        <v>134858.23151181499</v>
      </c>
      <c r="G232" s="70">
        <f t="shared" ca="1" si="66"/>
        <v>134858.23151181499</v>
      </c>
      <c r="H232" s="70">
        <f t="shared" ca="1" si="67"/>
        <v>54077.019374458272</v>
      </c>
      <c r="I232" s="70">
        <f t="shared" ca="1" si="68"/>
        <v>80781.212137356721</v>
      </c>
      <c r="J232" s="70">
        <f>SUMIFS(入力設定!$G$5:$G$24,入力設定!$F$5:$F$24,A232)</f>
        <v>0</v>
      </c>
      <c r="K232" s="70">
        <f t="shared" ca="1" si="69"/>
        <v>0</v>
      </c>
      <c r="L232" s="70">
        <f ca="1">IF(K232&gt;0,入力設定!$B$9,0)</f>
        <v>0</v>
      </c>
      <c r="M232" s="70">
        <f t="shared" ca="1" si="70"/>
        <v>16142324.600200126</v>
      </c>
      <c r="N232" s="70">
        <f ca="1">IF(M232+AA232&lt;0.000001,0,IF(AND(K232&gt;0,入力設定!$B$8="期間短縮型",AA232&lt;0.000001,F232&gt;M232*C232/12),MAX(1,MIN(E232-1,IF(C232=0,ROUNDUP(M232/F232,0),ROUNDUP(-LN(1-M232*(C232/12)/F232)/LN(1+C232/12),0)))),MAX(1,E232-1)))</f>
        <v>153</v>
      </c>
      <c r="O232" s="70">
        <f t="shared" ca="1" si="71"/>
        <v>134858.23151181499</v>
      </c>
      <c r="P232" s="70">
        <f t="shared" ca="1" si="85"/>
        <v>20052038.551624764</v>
      </c>
      <c r="Q232" s="70">
        <f ca="1">IF(OR(A232&gt;入力設定!$B$6*12,P232+AC232&lt;0.000001),0,IF(P232&lt;0.000001,Q231,IF(AE232=1,IF(C232=0,P232/MAX(1,入力設定!$B$6*12-A232+1),P232*(C232/12)/(1-(1+C232/12)^(-MAX(1,入力設定!$B$6*12-A232+1)))),Q231)))</f>
        <v>140524.47704383376</v>
      </c>
      <c r="R232" s="70">
        <f ca="1">IF(P232+AC232&lt;0.000001,0,IF(A232=入力設定!$B$6*12,P232+AB232+AC232,MIN(Q232,P232+AB232+AC232)))</f>
        <v>140524.47704383376</v>
      </c>
      <c r="S232" s="70">
        <f t="shared" ca="1" si="72"/>
        <v>66840.12850541588</v>
      </c>
      <c r="T232" s="70">
        <f t="shared" ca="1" si="73"/>
        <v>73684.348538417878</v>
      </c>
      <c r="U232" s="70">
        <f t="shared" ca="1" si="74"/>
        <v>19978354.203086346</v>
      </c>
      <c r="V232" s="70">
        <f t="shared" ca="1" si="75"/>
        <v>0</v>
      </c>
      <c r="W232" s="70">
        <f t="shared" ca="1" si="76"/>
        <v>0</v>
      </c>
      <c r="X232" s="70">
        <f t="shared" ca="1" si="77"/>
        <v>0</v>
      </c>
      <c r="Y232" s="71">
        <f t="shared" ca="1" si="78"/>
        <v>54077.019374458272</v>
      </c>
      <c r="Z232" s="71">
        <f t="shared" ca="1" si="86"/>
        <v>0</v>
      </c>
      <c r="AA232" s="71">
        <f t="shared" ca="1" si="79"/>
        <v>0</v>
      </c>
      <c r="AB232" s="71">
        <f t="shared" ca="1" si="80"/>
        <v>66840.12850541588</v>
      </c>
      <c r="AC232" s="71">
        <f t="shared" ca="1" si="87"/>
        <v>0</v>
      </c>
      <c r="AD232" s="71">
        <f t="shared" ca="1" si="81"/>
        <v>0</v>
      </c>
      <c r="AE232" s="72">
        <f t="shared" si="82"/>
        <v>0</v>
      </c>
      <c r="AF232" s="73">
        <f>IF(A232&gt;入力設定!$B$6*12,0,IF(AND(ISNUMBER(C232),C232&gt;=0,C232&lt;=1),0,1))</f>
        <v>0</v>
      </c>
    </row>
    <row r="233" spans="1:32" ht="21" customHeight="1">
      <c r="A233" s="68">
        <f>228</f>
        <v>228</v>
      </c>
      <c r="B233" s="69">
        <f>EDATE(入力設定!$B$7,A233-1)</f>
        <v>53236</v>
      </c>
      <c r="C233" s="80">
        <f>INDEX(入力設定!$C$15:$C$24,INT((A233-1)/60)+1)</f>
        <v>0.04</v>
      </c>
      <c r="D233" s="70">
        <f t="shared" ca="1" si="83"/>
        <v>16142324.600200126</v>
      </c>
      <c r="E233" s="70">
        <f t="shared" ca="1" si="84"/>
        <v>153</v>
      </c>
      <c r="F233" s="70">
        <f ca="1">IF(D233+Z233&lt;0.000001,0,IF(D233&lt;0.000001,F232,IF(OR(AE233=1,AND(K232&gt;0,入力設定!$B$8="返済額軽減型",入力設定!$B$11="翌月")),IF(C233=0,D233/MAX(1,E233),D233*(C233/12)/(1-(1+C233/12)^(-MAX(1,E233)))),F232)))</f>
        <v>134858.23151181499</v>
      </c>
      <c r="G233" s="70">
        <f t="shared" ca="1" si="66"/>
        <v>134858.23151181499</v>
      </c>
      <c r="H233" s="70">
        <f t="shared" ca="1" si="67"/>
        <v>53807.748667333748</v>
      </c>
      <c r="I233" s="70">
        <f t="shared" ca="1" si="68"/>
        <v>81050.482844481245</v>
      </c>
      <c r="J233" s="70">
        <f>SUMIFS(入力設定!$G$5:$G$24,入力設定!$F$5:$F$24,A233)</f>
        <v>0</v>
      </c>
      <c r="K233" s="70">
        <f t="shared" ca="1" si="69"/>
        <v>0</v>
      </c>
      <c r="L233" s="70">
        <f ca="1">IF(K233&gt;0,入力設定!$B$9,0)</f>
        <v>0</v>
      </c>
      <c r="M233" s="70">
        <f t="shared" ca="1" si="70"/>
        <v>16061274.117355645</v>
      </c>
      <c r="N233" s="70">
        <f ca="1">IF(M233+AA233&lt;0.000001,0,IF(AND(K233&gt;0,入力設定!$B$8="期間短縮型",AA233&lt;0.000001,F233&gt;M233*C233/12),MAX(1,MIN(E233-1,IF(C233=0,ROUNDUP(M233/F233,0),ROUNDUP(-LN(1-M233*(C233/12)/F233)/LN(1+C233/12),0)))),MAX(1,E233-1)))</f>
        <v>152</v>
      </c>
      <c r="O233" s="70">
        <f t="shared" ca="1" si="71"/>
        <v>134858.23151181499</v>
      </c>
      <c r="P233" s="70">
        <f t="shared" ca="1" si="85"/>
        <v>19978354.203086346</v>
      </c>
      <c r="Q233" s="70">
        <f ca="1">IF(OR(A233&gt;入力設定!$B$6*12,P233+AC233&lt;0.000001),0,IF(P233&lt;0.000001,Q232,IF(AE233=1,IF(C233=0,P233/MAX(1,入力設定!$B$6*12-A233+1),P233*(C233/12)/(1-(1+C233/12)^(-MAX(1,入力設定!$B$6*12-A233+1)))),Q232)))</f>
        <v>140524.47704383376</v>
      </c>
      <c r="R233" s="70">
        <f ca="1">IF(P233+AC233&lt;0.000001,0,IF(A233=入力設定!$B$6*12,P233+AB233+AC233,MIN(Q233,P233+AB233+AC233)))</f>
        <v>140524.47704383376</v>
      </c>
      <c r="S233" s="70">
        <f t="shared" ca="1" si="72"/>
        <v>66594.514010287821</v>
      </c>
      <c r="T233" s="70">
        <f t="shared" ca="1" si="73"/>
        <v>73929.963033545937</v>
      </c>
      <c r="U233" s="70">
        <f t="shared" ca="1" si="74"/>
        <v>19904424.240052801</v>
      </c>
      <c r="V233" s="70">
        <f t="shared" ca="1" si="75"/>
        <v>0</v>
      </c>
      <c r="W233" s="70">
        <f t="shared" ca="1" si="76"/>
        <v>0</v>
      </c>
      <c r="X233" s="70">
        <f t="shared" ca="1" si="77"/>
        <v>0</v>
      </c>
      <c r="Y233" s="71">
        <f t="shared" ca="1" si="78"/>
        <v>53807.748667333748</v>
      </c>
      <c r="Z233" s="71">
        <f t="shared" ca="1" si="86"/>
        <v>0</v>
      </c>
      <c r="AA233" s="71">
        <f t="shared" ca="1" si="79"/>
        <v>0</v>
      </c>
      <c r="AB233" s="71">
        <f t="shared" ca="1" si="80"/>
        <v>66594.514010287821</v>
      </c>
      <c r="AC233" s="71">
        <f t="shared" ca="1" si="87"/>
        <v>0</v>
      </c>
      <c r="AD233" s="71">
        <f t="shared" ca="1" si="81"/>
        <v>0</v>
      </c>
      <c r="AE233" s="72">
        <f t="shared" si="82"/>
        <v>0</v>
      </c>
      <c r="AF233" s="73">
        <f>IF(A233&gt;入力設定!$B$6*12,0,IF(AND(ISNUMBER(C233),C233&gt;=0,C233&lt;=1),0,1))</f>
        <v>0</v>
      </c>
    </row>
    <row r="234" spans="1:32" ht="21" customHeight="1">
      <c r="A234" s="68">
        <f>229</f>
        <v>229</v>
      </c>
      <c r="B234" s="69">
        <f>EDATE(入力設定!$B$7,A234-1)</f>
        <v>53267</v>
      </c>
      <c r="C234" s="80">
        <f>INDEX(入力設定!$C$15:$C$24,INT((A234-1)/60)+1)</f>
        <v>0.04</v>
      </c>
      <c r="D234" s="70">
        <f t="shared" ca="1" si="83"/>
        <v>16061274.117355645</v>
      </c>
      <c r="E234" s="70">
        <f t="shared" ca="1" si="84"/>
        <v>152</v>
      </c>
      <c r="F234" s="70">
        <f ca="1">IF(D234+Z234&lt;0.000001,0,IF(D234&lt;0.000001,F233,IF(OR(AE234=1,AND(K233&gt;0,入力設定!$B$8="返済額軽減型",入力設定!$B$11="翌月")),IF(C234=0,D234/MAX(1,E234),D234*(C234/12)/(1-(1+C234/12)^(-MAX(1,E234)))),F233)))</f>
        <v>134858.23151181499</v>
      </c>
      <c r="G234" s="70">
        <f t="shared" ca="1" si="66"/>
        <v>134858.23151181499</v>
      </c>
      <c r="H234" s="70">
        <f t="shared" ca="1" si="67"/>
        <v>53537.580391185482</v>
      </c>
      <c r="I234" s="70">
        <f t="shared" ca="1" si="68"/>
        <v>81320.651120629511</v>
      </c>
      <c r="J234" s="70">
        <f>SUMIFS(入力設定!$G$5:$G$24,入力設定!$F$5:$F$24,A234)</f>
        <v>0</v>
      </c>
      <c r="K234" s="70">
        <f t="shared" ca="1" si="69"/>
        <v>0</v>
      </c>
      <c r="L234" s="70">
        <f ca="1">IF(K234&gt;0,入力設定!$B$9,0)</f>
        <v>0</v>
      </c>
      <c r="M234" s="70">
        <f t="shared" ca="1" si="70"/>
        <v>15979953.466235016</v>
      </c>
      <c r="N234" s="70">
        <f ca="1">IF(M234+AA234&lt;0.000001,0,IF(AND(K234&gt;0,入力設定!$B$8="期間短縮型",AA234&lt;0.000001,F234&gt;M234*C234/12),MAX(1,MIN(E234-1,IF(C234=0,ROUNDUP(M234/F234,0),ROUNDUP(-LN(1-M234*(C234/12)/F234)/LN(1+C234/12),0)))),MAX(1,E234-1)))</f>
        <v>151</v>
      </c>
      <c r="O234" s="70">
        <f t="shared" ca="1" si="71"/>
        <v>134858.23151181499</v>
      </c>
      <c r="P234" s="70">
        <f t="shared" ca="1" si="85"/>
        <v>19904424.240052801</v>
      </c>
      <c r="Q234" s="70">
        <f ca="1">IF(OR(A234&gt;入力設定!$B$6*12,P234+AC234&lt;0.000001),0,IF(P234&lt;0.000001,Q233,IF(AE234=1,IF(C234=0,P234/MAX(1,入力設定!$B$6*12-A234+1),P234*(C234/12)/(1-(1+C234/12)^(-MAX(1,入力設定!$B$6*12-A234+1)))),Q233)))</f>
        <v>140524.47704383376</v>
      </c>
      <c r="R234" s="70">
        <f ca="1">IF(P234+AC234&lt;0.000001,0,IF(A234=入力設定!$B$6*12,P234+AB234+AC234,MIN(Q234,P234+AB234+AC234)))</f>
        <v>140524.47704383376</v>
      </c>
      <c r="S234" s="70">
        <f t="shared" ca="1" si="72"/>
        <v>66348.080800176002</v>
      </c>
      <c r="T234" s="70">
        <f t="shared" ca="1" si="73"/>
        <v>74176.396243657757</v>
      </c>
      <c r="U234" s="70">
        <f t="shared" ca="1" si="74"/>
        <v>19830247.843809143</v>
      </c>
      <c r="V234" s="70">
        <f t="shared" ca="1" si="75"/>
        <v>0</v>
      </c>
      <c r="W234" s="70">
        <f t="shared" ca="1" si="76"/>
        <v>0</v>
      </c>
      <c r="X234" s="70">
        <f t="shared" ca="1" si="77"/>
        <v>0</v>
      </c>
      <c r="Y234" s="71">
        <f t="shared" ca="1" si="78"/>
        <v>53537.580391185482</v>
      </c>
      <c r="Z234" s="71">
        <f t="shared" ca="1" si="86"/>
        <v>0</v>
      </c>
      <c r="AA234" s="71">
        <f t="shared" ca="1" si="79"/>
        <v>0</v>
      </c>
      <c r="AB234" s="71">
        <f t="shared" ca="1" si="80"/>
        <v>66348.080800176002</v>
      </c>
      <c r="AC234" s="71">
        <f t="shared" ca="1" si="87"/>
        <v>0</v>
      </c>
      <c r="AD234" s="71">
        <f t="shared" ca="1" si="81"/>
        <v>0</v>
      </c>
      <c r="AE234" s="72">
        <f t="shared" si="82"/>
        <v>0</v>
      </c>
      <c r="AF234" s="73">
        <f>IF(A234&gt;入力設定!$B$6*12,0,IF(AND(ISNUMBER(C234),C234&gt;=0,C234&lt;=1),0,1))</f>
        <v>0</v>
      </c>
    </row>
    <row r="235" spans="1:32" ht="21" customHeight="1">
      <c r="A235" s="68">
        <f>230</f>
        <v>230</v>
      </c>
      <c r="B235" s="69">
        <f>EDATE(入力設定!$B$7,A235-1)</f>
        <v>53297</v>
      </c>
      <c r="C235" s="80">
        <f>INDEX(入力設定!$C$15:$C$24,INT((A235-1)/60)+1)</f>
        <v>0.04</v>
      </c>
      <c r="D235" s="70">
        <f t="shared" ca="1" si="83"/>
        <v>15979953.466235016</v>
      </c>
      <c r="E235" s="70">
        <f t="shared" ca="1" si="84"/>
        <v>151</v>
      </c>
      <c r="F235" s="70">
        <f ca="1">IF(D235+Z235&lt;0.000001,0,IF(D235&lt;0.000001,F234,IF(OR(AE235=1,AND(K234&gt;0,入力設定!$B$8="返済額軽減型",入力設定!$B$11="翌月")),IF(C235=0,D235/MAX(1,E235),D235*(C235/12)/(1-(1+C235/12)^(-MAX(1,E235)))),F234)))</f>
        <v>134858.23151181499</v>
      </c>
      <c r="G235" s="70">
        <f t="shared" ca="1" si="66"/>
        <v>134858.23151181499</v>
      </c>
      <c r="H235" s="70">
        <f t="shared" ca="1" si="67"/>
        <v>53266.511554116725</v>
      </c>
      <c r="I235" s="70">
        <f t="shared" ca="1" si="68"/>
        <v>81591.719957698253</v>
      </c>
      <c r="J235" s="70">
        <f>SUMIFS(入力設定!$G$5:$G$24,入力設定!$F$5:$F$24,A235)</f>
        <v>0</v>
      </c>
      <c r="K235" s="70">
        <f t="shared" ca="1" si="69"/>
        <v>0</v>
      </c>
      <c r="L235" s="70">
        <f ca="1">IF(K235&gt;0,入力設定!$B$9,0)</f>
        <v>0</v>
      </c>
      <c r="M235" s="70">
        <f t="shared" ca="1" si="70"/>
        <v>15898361.746277317</v>
      </c>
      <c r="N235" s="70">
        <f ca="1">IF(M235+AA235&lt;0.000001,0,IF(AND(K235&gt;0,入力設定!$B$8="期間短縮型",AA235&lt;0.000001,F235&gt;M235*C235/12),MAX(1,MIN(E235-1,IF(C235=0,ROUNDUP(M235/F235,0),ROUNDUP(-LN(1-M235*(C235/12)/F235)/LN(1+C235/12),0)))),MAX(1,E235-1)))</f>
        <v>150</v>
      </c>
      <c r="O235" s="70">
        <f t="shared" ca="1" si="71"/>
        <v>134858.23151181499</v>
      </c>
      <c r="P235" s="70">
        <f t="shared" ca="1" si="85"/>
        <v>19830247.843809143</v>
      </c>
      <c r="Q235" s="70">
        <f ca="1">IF(OR(A235&gt;入力設定!$B$6*12,P235+AC235&lt;0.000001),0,IF(P235&lt;0.000001,Q234,IF(AE235=1,IF(C235=0,P235/MAX(1,入力設定!$B$6*12-A235+1),P235*(C235/12)/(1-(1+C235/12)^(-MAX(1,入力設定!$B$6*12-A235+1)))),Q234)))</f>
        <v>140524.47704383376</v>
      </c>
      <c r="R235" s="70">
        <f ca="1">IF(P235+AC235&lt;0.000001,0,IF(A235=入力設定!$B$6*12,P235+AB235+AC235,MIN(Q235,P235+AB235+AC235)))</f>
        <v>140524.47704383376</v>
      </c>
      <c r="S235" s="70">
        <f t="shared" ca="1" si="72"/>
        <v>66100.826146030478</v>
      </c>
      <c r="T235" s="70">
        <f t="shared" ca="1" si="73"/>
        <v>74423.65089780328</v>
      </c>
      <c r="U235" s="70">
        <f t="shared" ca="1" si="74"/>
        <v>19755824.192911338</v>
      </c>
      <c r="V235" s="70">
        <f t="shared" ca="1" si="75"/>
        <v>0</v>
      </c>
      <c r="W235" s="70">
        <f t="shared" ca="1" si="76"/>
        <v>0</v>
      </c>
      <c r="X235" s="70">
        <f t="shared" ca="1" si="77"/>
        <v>0</v>
      </c>
      <c r="Y235" s="71">
        <f t="shared" ca="1" si="78"/>
        <v>53266.511554116725</v>
      </c>
      <c r="Z235" s="71">
        <f t="shared" ca="1" si="86"/>
        <v>0</v>
      </c>
      <c r="AA235" s="71">
        <f t="shared" ca="1" si="79"/>
        <v>0</v>
      </c>
      <c r="AB235" s="71">
        <f t="shared" ca="1" si="80"/>
        <v>66100.826146030478</v>
      </c>
      <c r="AC235" s="71">
        <f t="shared" ca="1" si="87"/>
        <v>0</v>
      </c>
      <c r="AD235" s="71">
        <f t="shared" ca="1" si="81"/>
        <v>0</v>
      </c>
      <c r="AE235" s="72">
        <f t="shared" si="82"/>
        <v>0</v>
      </c>
      <c r="AF235" s="73">
        <f>IF(A235&gt;入力設定!$B$6*12,0,IF(AND(ISNUMBER(C235),C235&gt;=0,C235&lt;=1),0,1))</f>
        <v>0</v>
      </c>
    </row>
    <row r="236" spans="1:32" ht="21" customHeight="1">
      <c r="A236" s="68">
        <f>231</f>
        <v>231</v>
      </c>
      <c r="B236" s="69">
        <f>EDATE(入力設定!$B$7,A236-1)</f>
        <v>53328</v>
      </c>
      <c r="C236" s="80">
        <f>INDEX(入力設定!$C$15:$C$24,INT((A236-1)/60)+1)</f>
        <v>0.04</v>
      </c>
      <c r="D236" s="70">
        <f t="shared" ca="1" si="83"/>
        <v>15898361.746277317</v>
      </c>
      <c r="E236" s="70">
        <f t="shared" ca="1" si="84"/>
        <v>150</v>
      </c>
      <c r="F236" s="70">
        <f ca="1">IF(D236+Z236&lt;0.000001,0,IF(D236&lt;0.000001,F235,IF(OR(AE236=1,AND(K235&gt;0,入力設定!$B$8="返済額軽減型",入力設定!$B$11="翌月")),IF(C236=0,D236/MAX(1,E236),D236*(C236/12)/(1-(1+C236/12)^(-MAX(1,E236)))),F235)))</f>
        <v>134858.23151181499</v>
      </c>
      <c r="G236" s="70">
        <f t="shared" ca="1" si="66"/>
        <v>134858.23151181499</v>
      </c>
      <c r="H236" s="70">
        <f t="shared" ca="1" si="67"/>
        <v>52994.53915425772</v>
      </c>
      <c r="I236" s="70">
        <f t="shared" ca="1" si="68"/>
        <v>81863.692357557273</v>
      </c>
      <c r="J236" s="70">
        <f>SUMIFS(入力設定!$G$5:$G$24,入力設定!$F$5:$F$24,A236)</f>
        <v>0</v>
      </c>
      <c r="K236" s="70">
        <f t="shared" ca="1" si="69"/>
        <v>0</v>
      </c>
      <c r="L236" s="70">
        <f ca="1">IF(K236&gt;0,入力設定!$B$9,0)</f>
        <v>0</v>
      </c>
      <c r="M236" s="70">
        <f t="shared" ca="1" si="70"/>
        <v>15816498.053919761</v>
      </c>
      <c r="N236" s="70">
        <f ca="1">IF(M236+AA236&lt;0.000001,0,IF(AND(K236&gt;0,入力設定!$B$8="期間短縮型",AA236&lt;0.000001,F236&gt;M236*C236/12),MAX(1,MIN(E236-1,IF(C236=0,ROUNDUP(M236/F236,0),ROUNDUP(-LN(1-M236*(C236/12)/F236)/LN(1+C236/12),0)))),MAX(1,E236-1)))</f>
        <v>149</v>
      </c>
      <c r="O236" s="70">
        <f t="shared" ca="1" si="71"/>
        <v>134858.23151181499</v>
      </c>
      <c r="P236" s="70">
        <f t="shared" ca="1" si="85"/>
        <v>19755824.192911338</v>
      </c>
      <c r="Q236" s="70">
        <f ca="1">IF(OR(A236&gt;入力設定!$B$6*12,P236+AC236&lt;0.000001),0,IF(P236&lt;0.000001,Q235,IF(AE236=1,IF(C236=0,P236/MAX(1,入力設定!$B$6*12-A236+1),P236*(C236/12)/(1-(1+C236/12)^(-MAX(1,入力設定!$B$6*12-A236+1)))),Q235)))</f>
        <v>140524.47704383376</v>
      </c>
      <c r="R236" s="70">
        <f ca="1">IF(P236+AC236&lt;0.000001,0,IF(A236=入力設定!$B$6*12,P236+AB236+AC236,MIN(Q236,P236+AB236+AC236)))</f>
        <v>140524.47704383376</v>
      </c>
      <c r="S236" s="70">
        <f t="shared" ca="1" si="72"/>
        <v>65852.747309704471</v>
      </c>
      <c r="T236" s="70">
        <f t="shared" ca="1" si="73"/>
        <v>74671.729734129287</v>
      </c>
      <c r="U236" s="70">
        <f t="shared" ca="1" si="74"/>
        <v>19681152.463177208</v>
      </c>
      <c r="V236" s="70">
        <f t="shared" ca="1" si="75"/>
        <v>0</v>
      </c>
      <c r="W236" s="70">
        <f t="shared" ca="1" si="76"/>
        <v>0</v>
      </c>
      <c r="X236" s="70">
        <f t="shared" ca="1" si="77"/>
        <v>0</v>
      </c>
      <c r="Y236" s="71">
        <f t="shared" ca="1" si="78"/>
        <v>52994.53915425772</v>
      </c>
      <c r="Z236" s="71">
        <f t="shared" ca="1" si="86"/>
        <v>0</v>
      </c>
      <c r="AA236" s="71">
        <f t="shared" ca="1" si="79"/>
        <v>0</v>
      </c>
      <c r="AB236" s="71">
        <f t="shared" ca="1" si="80"/>
        <v>65852.747309704471</v>
      </c>
      <c r="AC236" s="71">
        <f t="shared" ca="1" si="87"/>
        <v>0</v>
      </c>
      <c r="AD236" s="71">
        <f t="shared" ca="1" si="81"/>
        <v>0</v>
      </c>
      <c r="AE236" s="72">
        <f t="shared" si="82"/>
        <v>0</v>
      </c>
      <c r="AF236" s="73">
        <f>IF(A236&gt;入力設定!$B$6*12,0,IF(AND(ISNUMBER(C236),C236&gt;=0,C236&lt;=1),0,1))</f>
        <v>0</v>
      </c>
    </row>
    <row r="237" spans="1:32" ht="21" customHeight="1">
      <c r="A237" s="68">
        <f>232</f>
        <v>232</v>
      </c>
      <c r="B237" s="69">
        <f>EDATE(入力設定!$B$7,A237-1)</f>
        <v>53359</v>
      </c>
      <c r="C237" s="80">
        <f>INDEX(入力設定!$C$15:$C$24,INT((A237-1)/60)+1)</f>
        <v>0.04</v>
      </c>
      <c r="D237" s="70">
        <f t="shared" ca="1" si="83"/>
        <v>15816498.053919761</v>
      </c>
      <c r="E237" s="70">
        <f t="shared" ca="1" si="84"/>
        <v>149</v>
      </c>
      <c r="F237" s="70">
        <f ca="1">IF(D237+Z237&lt;0.000001,0,IF(D237&lt;0.000001,F236,IF(OR(AE237=1,AND(K236&gt;0,入力設定!$B$8="返済額軽減型",入力設定!$B$11="翌月")),IF(C237=0,D237/MAX(1,E237),D237*(C237/12)/(1-(1+C237/12)^(-MAX(1,E237)))),F236)))</f>
        <v>134858.23151181499</v>
      </c>
      <c r="G237" s="70">
        <f t="shared" ca="1" si="66"/>
        <v>134858.23151181499</v>
      </c>
      <c r="H237" s="70">
        <f t="shared" ca="1" si="67"/>
        <v>52721.660179732535</v>
      </c>
      <c r="I237" s="70">
        <f t="shared" ca="1" si="68"/>
        <v>82136.571332082443</v>
      </c>
      <c r="J237" s="70">
        <f>SUMIFS(入力設定!$G$5:$G$24,入力設定!$F$5:$F$24,A237)</f>
        <v>0</v>
      </c>
      <c r="K237" s="70">
        <f t="shared" ca="1" si="69"/>
        <v>0</v>
      </c>
      <c r="L237" s="70">
        <f ca="1">IF(K237&gt;0,入力設定!$B$9,0)</f>
        <v>0</v>
      </c>
      <c r="M237" s="70">
        <f t="shared" ca="1" si="70"/>
        <v>15734361.482587678</v>
      </c>
      <c r="N237" s="70">
        <f ca="1">IF(M237+AA237&lt;0.000001,0,IF(AND(K237&gt;0,入力設定!$B$8="期間短縮型",AA237&lt;0.000001,F237&gt;M237*C237/12),MAX(1,MIN(E237-1,IF(C237=0,ROUNDUP(M237/F237,0),ROUNDUP(-LN(1-M237*(C237/12)/F237)/LN(1+C237/12),0)))),MAX(1,E237-1)))</f>
        <v>148</v>
      </c>
      <c r="O237" s="70">
        <f t="shared" ca="1" si="71"/>
        <v>134858.23151181499</v>
      </c>
      <c r="P237" s="70">
        <f t="shared" ca="1" si="85"/>
        <v>19681152.463177208</v>
      </c>
      <c r="Q237" s="70">
        <f ca="1">IF(OR(A237&gt;入力設定!$B$6*12,P237+AC237&lt;0.000001),0,IF(P237&lt;0.000001,Q236,IF(AE237=1,IF(C237=0,P237/MAX(1,入力設定!$B$6*12-A237+1),P237*(C237/12)/(1-(1+C237/12)^(-MAX(1,入力設定!$B$6*12-A237+1)))),Q236)))</f>
        <v>140524.47704383376</v>
      </c>
      <c r="R237" s="70">
        <f ca="1">IF(P237+AC237&lt;0.000001,0,IF(A237=入力設定!$B$6*12,P237+AB237+AC237,MIN(Q237,P237+AB237+AC237)))</f>
        <v>140524.47704383376</v>
      </c>
      <c r="S237" s="70">
        <f t="shared" ca="1" si="72"/>
        <v>65603.84154392402</v>
      </c>
      <c r="T237" s="70">
        <f t="shared" ca="1" si="73"/>
        <v>74920.635499909738</v>
      </c>
      <c r="U237" s="70">
        <f t="shared" ca="1" si="74"/>
        <v>19606231.827677298</v>
      </c>
      <c r="V237" s="70">
        <f t="shared" ca="1" si="75"/>
        <v>0</v>
      </c>
      <c r="W237" s="70">
        <f t="shared" ca="1" si="76"/>
        <v>0</v>
      </c>
      <c r="X237" s="70">
        <f t="shared" ca="1" si="77"/>
        <v>0</v>
      </c>
      <c r="Y237" s="71">
        <f t="shared" ca="1" si="78"/>
        <v>52721.660179732535</v>
      </c>
      <c r="Z237" s="71">
        <f t="shared" ca="1" si="86"/>
        <v>0</v>
      </c>
      <c r="AA237" s="71">
        <f t="shared" ca="1" si="79"/>
        <v>0</v>
      </c>
      <c r="AB237" s="71">
        <f t="shared" ca="1" si="80"/>
        <v>65603.84154392402</v>
      </c>
      <c r="AC237" s="71">
        <f t="shared" ca="1" si="87"/>
        <v>0</v>
      </c>
      <c r="AD237" s="71">
        <f t="shared" ca="1" si="81"/>
        <v>0</v>
      </c>
      <c r="AE237" s="72">
        <f t="shared" si="82"/>
        <v>0</v>
      </c>
      <c r="AF237" s="73">
        <f>IF(A237&gt;入力設定!$B$6*12,0,IF(AND(ISNUMBER(C237),C237&gt;=0,C237&lt;=1),0,1))</f>
        <v>0</v>
      </c>
    </row>
    <row r="238" spans="1:32" ht="21" customHeight="1">
      <c r="A238" s="68">
        <f>233</f>
        <v>233</v>
      </c>
      <c r="B238" s="69">
        <f>EDATE(入力設定!$B$7,A238-1)</f>
        <v>53387</v>
      </c>
      <c r="C238" s="80">
        <f>INDEX(入力設定!$C$15:$C$24,INT((A238-1)/60)+1)</f>
        <v>0.04</v>
      </c>
      <c r="D238" s="70">
        <f t="shared" ca="1" si="83"/>
        <v>15734361.482587678</v>
      </c>
      <c r="E238" s="70">
        <f t="shared" ca="1" si="84"/>
        <v>148</v>
      </c>
      <c r="F238" s="70">
        <f ca="1">IF(D238+Z238&lt;0.000001,0,IF(D238&lt;0.000001,F237,IF(OR(AE238=1,AND(K237&gt;0,入力設定!$B$8="返済額軽減型",入力設定!$B$11="翌月")),IF(C238=0,D238/MAX(1,E238),D238*(C238/12)/(1-(1+C238/12)^(-MAX(1,E238)))),F237)))</f>
        <v>134858.23151181499</v>
      </c>
      <c r="G238" s="70">
        <f t="shared" ca="1" si="66"/>
        <v>134858.23151181499</v>
      </c>
      <c r="H238" s="70">
        <f t="shared" ca="1" si="67"/>
        <v>52447.871608625595</v>
      </c>
      <c r="I238" s="70">
        <f t="shared" ca="1" si="68"/>
        <v>82410.359903189383</v>
      </c>
      <c r="J238" s="70">
        <f>SUMIFS(入力設定!$G$5:$G$24,入力設定!$F$5:$F$24,A238)</f>
        <v>0</v>
      </c>
      <c r="K238" s="70">
        <f t="shared" ca="1" si="69"/>
        <v>0</v>
      </c>
      <c r="L238" s="70">
        <f ca="1">IF(K238&gt;0,入力設定!$B$9,0)</f>
        <v>0</v>
      </c>
      <c r="M238" s="70">
        <f t="shared" ca="1" si="70"/>
        <v>15651951.122684488</v>
      </c>
      <c r="N238" s="70">
        <f ca="1">IF(M238+AA238&lt;0.000001,0,IF(AND(K238&gt;0,入力設定!$B$8="期間短縮型",AA238&lt;0.000001,F238&gt;M238*C238/12),MAX(1,MIN(E238-1,IF(C238=0,ROUNDUP(M238/F238,0),ROUNDUP(-LN(1-M238*(C238/12)/F238)/LN(1+C238/12),0)))),MAX(1,E238-1)))</f>
        <v>147</v>
      </c>
      <c r="O238" s="70">
        <f t="shared" ca="1" si="71"/>
        <v>134858.23151181499</v>
      </c>
      <c r="P238" s="70">
        <f t="shared" ca="1" si="85"/>
        <v>19606231.827677298</v>
      </c>
      <c r="Q238" s="70">
        <f ca="1">IF(OR(A238&gt;入力設定!$B$6*12,P238+AC238&lt;0.000001),0,IF(P238&lt;0.000001,Q237,IF(AE238=1,IF(C238=0,P238/MAX(1,入力設定!$B$6*12-A238+1),P238*(C238/12)/(1-(1+C238/12)^(-MAX(1,入力設定!$B$6*12-A238+1)))),Q237)))</f>
        <v>140524.47704383376</v>
      </c>
      <c r="R238" s="70">
        <f ca="1">IF(P238+AC238&lt;0.000001,0,IF(A238=入力設定!$B$6*12,P238+AB238+AC238,MIN(Q238,P238+AB238+AC238)))</f>
        <v>140524.47704383376</v>
      </c>
      <c r="S238" s="70">
        <f t="shared" ca="1" si="72"/>
        <v>65354.106092257658</v>
      </c>
      <c r="T238" s="70">
        <f t="shared" ca="1" si="73"/>
        <v>75170.3709515761</v>
      </c>
      <c r="U238" s="70">
        <f t="shared" ca="1" si="74"/>
        <v>19531061.456725724</v>
      </c>
      <c r="V238" s="70">
        <f t="shared" ca="1" si="75"/>
        <v>0</v>
      </c>
      <c r="W238" s="70">
        <f t="shared" ca="1" si="76"/>
        <v>0</v>
      </c>
      <c r="X238" s="70">
        <f t="shared" ca="1" si="77"/>
        <v>0</v>
      </c>
      <c r="Y238" s="71">
        <f t="shared" ca="1" si="78"/>
        <v>52447.871608625595</v>
      </c>
      <c r="Z238" s="71">
        <f t="shared" ca="1" si="86"/>
        <v>0</v>
      </c>
      <c r="AA238" s="71">
        <f t="shared" ca="1" si="79"/>
        <v>0</v>
      </c>
      <c r="AB238" s="71">
        <f t="shared" ca="1" si="80"/>
        <v>65354.106092257658</v>
      </c>
      <c r="AC238" s="71">
        <f t="shared" ca="1" si="87"/>
        <v>0</v>
      </c>
      <c r="AD238" s="71">
        <f t="shared" ca="1" si="81"/>
        <v>0</v>
      </c>
      <c r="AE238" s="72">
        <f t="shared" si="82"/>
        <v>0</v>
      </c>
      <c r="AF238" s="73">
        <f>IF(A238&gt;入力設定!$B$6*12,0,IF(AND(ISNUMBER(C238),C238&gt;=0,C238&lt;=1),0,1))</f>
        <v>0</v>
      </c>
    </row>
    <row r="239" spans="1:32" ht="21" customHeight="1">
      <c r="A239" s="68">
        <f>234</f>
        <v>234</v>
      </c>
      <c r="B239" s="69">
        <f>EDATE(入力設定!$B$7,A239-1)</f>
        <v>53418</v>
      </c>
      <c r="C239" s="80">
        <f>INDEX(入力設定!$C$15:$C$24,INT((A239-1)/60)+1)</f>
        <v>0.04</v>
      </c>
      <c r="D239" s="70">
        <f t="shared" ca="1" si="83"/>
        <v>15651951.122684488</v>
      </c>
      <c r="E239" s="70">
        <f t="shared" ca="1" si="84"/>
        <v>147</v>
      </c>
      <c r="F239" s="70">
        <f ca="1">IF(D239+Z239&lt;0.000001,0,IF(D239&lt;0.000001,F238,IF(OR(AE239=1,AND(K238&gt;0,入力設定!$B$8="返済額軽減型",入力設定!$B$11="翌月")),IF(C239=0,D239/MAX(1,E239),D239*(C239/12)/(1-(1+C239/12)^(-MAX(1,E239)))),F238)))</f>
        <v>134858.23151181499</v>
      </c>
      <c r="G239" s="70">
        <f t="shared" ca="1" si="66"/>
        <v>134858.23151181499</v>
      </c>
      <c r="H239" s="70">
        <f t="shared" ca="1" si="67"/>
        <v>52173.170408948296</v>
      </c>
      <c r="I239" s="70">
        <f t="shared" ca="1" si="68"/>
        <v>82685.06110286669</v>
      </c>
      <c r="J239" s="70">
        <f>SUMIFS(入力設定!$G$5:$G$24,入力設定!$F$5:$F$24,A239)</f>
        <v>0</v>
      </c>
      <c r="K239" s="70">
        <f t="shared" ca="1" si="69"/>
        <v>0</v>
      </c>
      <c r="L239" s="70">
        <f ca="1">IF(K239&gt;0,入力設定!$B$9,0)</f>
        <v>0</v>
      </c>
      <c r="M239" s="70">
        <f t="shared" ca="1" si="70"/>
        <v>15569266.061581621</v>
      </c>
      <c r="N239" s="70">
        <f ca="1">IF(M239+AA239&lt;0.000001,0,IF(AND(K239&gt;0,入力設定!$B$8="期間短縮型",AA239&lt;0.000001,F239&gt;M239*C239/12),MAX(1,MIN(E239-1,IF(C239=0,ROUNDUP(M239/F239,0),ROUNDUP(-LN(1-M239*(C239/12)/F239)/LN(1+C239/12),0)))),MAX(1,E239-1)))</f>
        <v>146</v>
      </c>
      <c r="O239" s="70">
        <f t="shared" ca="1" si="71"/>
        <v>134858.23151181499</v>
      </c>
      <c r="P239" s="70">
        <f t="shared" ca="1" si="85"/>
        <v>19531061.456725724</v>
      </c>
      <c r="Q239" s="70">
        <f ca="1">IF(OR(A239&gt;入力設定!$B$6*12,P239+AC239&lt;0.000001),0,IF(P239&lt;0.000001,Q238,IF(AE239=1,IF(C239=0,P239/MAX(1,入力設定!$B$6*12-A239+1),P239*(C239/12)/(1-(1+C239/12)^(-MAX(1,入力設定!$B$6*12-A239+1)))),Q238)))</f>
        <v>140524.47704383376</v>
      </c>
      <c r="R239" s="70">
        <f ca="1">IF(P239+AC239&lt;0.000001,0,IF(A239=入力設定!$B$6*12,P239+AB239+AC239,MIN(Q239,P239+AB239+AC239)))</f>
        <v>140524.47704383376</v>
      </c>
      <c r="S239" s="70">
        <f t="shared" ca="1" si="72"/>
        <v>65103.538189085746</v>
      </c>
      <c r="T239" s="70">
        <f t="shared" ca="1" si="73"/>
        <v>75420.938854748005</v>
      </c>
      <c r="U239" s="70">
        <f t="shared" ca="1" si="74"/>
        <v>19455640.517870978</v>
      </c>
      <c r="V239" s="70">
        <f t="shared" ca="1" si="75"/>
        <v>0</v>
      </c>
      <c r="W239" s="70">
        <f t="shared" ca="1" si="76"/>
        <v>0</v>
      </c>
      <c r="X239" s="70">
        <f t="shared" ca="1" si="77"/>
        <v>0</v>
      </c>
      <c r="Y239" s="71">
        <f t="shared" ca="1" si="78"/>
        <v>52173.170408948296</v>
      </c>
      <c r="Z239" s="71">
        <f t="shared" ca="1" si="86"/>
        <v>0</v>
      </c>
      <c r="AA239" s="71">
        <f t="shared" ca="1" si="79"/>
        <v>0</v>
      </c>
      <c r="AB239" s="71">
        <f t="shared" ca="1" si="80"/>
        <v>65103.538189085746</v>
      </c>
      <c r="AC239" s="71">
        <f t="shared" ca="1" si="87"/>
        <v>0</v>
      </c>
      <c r="AD239" s="71">
        <f t="shared" ca="1" si="81"/>
        <v>0</v>
      </c>
      <c r="AE239" s="72">
        <f t="shared" si="82"/>
        <v>0</v>
      </c>
      <c r="AF239" s="73">
        <f>IF(A239&gt;入力設定!$B$6*12,0,IF(AND(ISNUMBER(C239),C239&gt;=0,C239&lt;=1),0,1))</f>
        <v>0</v>
      </c>
    </row>
    <row r="240" spans="1:32" ht="21" customHeight="1">
      <c r="A240" s="68">
        <f>235</f>
        <v>235</v>
      </c>
      <c r="B240" s="69">
        <f>EDATE(入力設定!$B$7,A240-1)</f>
        <v>53448</v>
      </c>
      <c r="C240" s="80">
        <f>INDEX(入力設定!$C$15:$C$24,INT((A240-1)/60)+1)</f>
        <v>0.04</v>
      </c>
      <c r="D240" s="70">
        <f t="shared" ca="1" si="83"/>
        <v>15569266.061581621</v>
      </c>
      <c r="E240" s="70">
        <f t="shared" ca="1" si="84"/>
        <v>146</v>
      </c>
      <c r="F240" s="70">
        <f ca="1">IF(D240+Z240&lt;0.000001,0,IF(D240&lt;0.000001,F239,IF(OR(AE240=1,AND(K239&gt;0,入力設定!$B$8="返済額軽減型",入力設定!$B$11="翌月")),IF(C240=0,D240/MAX(1,E240),D240*(C240/12)/(1-(1+C240/12)^(-MAX(1,E240)))),F239)))</f>
        <v>134858.23151181499</v>
      </c>
      <c r="G240" s="70">
        <f t="shared" ca="1" si="66"/>
        <v>134858.23151181499</v>
      </c>
      <c r="H240" s="70">
        <f t="shared" ca="1" si="67"/>
        <v>51897.553538605403</v>
      </c>
      <c r="I240" s="70">
        <f t="shared" ca="1" si="68"/>
        <v>82960.677973209589</v>
      </c>
      <c r="J240" s="70">
        <f>SUMIFS(入力設定!$G$5:$G$24,入力設定!$F$5:$F$24,A240)</f>
        <v>0</v>
      </c>
      <c r="K240" s="70">
        <f t="shared" ca="1" si="69"/>
        <v>0</v>
      </c>
      <c r="L240" s="70">
        <f ca="1">IF(K240&gt;0,入力設定!$B$9,0)</f>
        <v>0</v>
      </c>
      <c r="M240" s="70">
        <f t="shared" ca="1" si="70"/>
        <v>15486305.383608412</v>
      </c>
      <c r="N240" s="70">
        <f ca="1">IF(M240+AA240&lt;0.000001,0,IF(AND(K240&gt;0,入力設定!$B$8="期間短縮型",AA240&lt;0.000001,F240&gt;M240*C240/12),MAX(1,MIN(E240-1,IF(C240=0,ROUNDUP(M240/F240,0),ROUNDUP(-LN(1-M240*(C240/12)/F240)/LN(1+C240/12),0)))),MAX(1,E240-1)))</f>
        <v>145</v>
      </c>
      <c r="O240" s="70">
        <f t="shared" ca="1" si="71"/>
        <v>134858.23151181499</v>
      </c>
      <c r="P240" s="70">
        <f t="shared" ca="1" si="85"/>
        <v>19455640.517870978</v>
      </c>
      <c r="Q240" s="70">
        <f ca="1">IF(OR(A240&gt;入力設定!$B$6*12,P240+AC240&lt;0.000001),0,IF(P240&lt;0.000001,Q239,IF(AE240=1,IF(C240=0,P240/MAX(1,入力設定!$B$6*12-A240+1),P240*(C240/12)/(1-(1+C240/12)^(-MAX(1,入力設定!$B$6*12-A240+1)))),Q239)))</f>
        <v>140524.47704383376</v>
      </c>
      <c r="R240" s="70">
        <f ca="1">IF(P240+AC240&lt;0.000001,0,IF(A240=入力設定!$B$6*12,P240+AB240+AC240,MIN(Q240,P240+AB240+AC240)))</f>
        <v>140524.47704383376</v>
      </c>
      <c r="S240" s="70">
        <f t="shared" ca="1" si="72"/>
        <v>64852.135059569926</v>
      </c>
      <c r="T240" s="70">
        <f t="shared" ca="1" si="73"/>
        <v>75672.341984263825</v>
      </c>
      <c r="U240" s="70">
        <f t="shared" ca="1" si="74"/>
        <v>19379968.175886713</v>
      </c>
      <c r="V240" s="70">
        <f t="shared" ca="1" si="75"/>
        <v>0</v>
      </c>
      <c r="W240" s="70">
        <f t="shared" ca="1" si="76"/>
        <v>0</v>
      </c>
      <c r="X240" s="70">
        <f t="shared" ca="1" si="77"/>
        <v>0</v>
      </c>
      <c r="Y240" s="71">
        <f t="shared" ca="1" si="78"/>
        <v>51897.553538605403</v>
      </c>
      <c r="Z240" s="71">
        <f t="shared" ca="1" si="86"/>
        <v>0</v>
      </c>
      <c r="AA240" s="71">
        <f t="shared" ca="1" si="79"/>
        <v>0</v>
      </c>
      <c r="AB240" s="71">
        <f t="shared" ca="1" si="80"/>
        <v>64852.135059569926</v>
      </c>
      <c r="AC240" s="71">
        <f t="shared" ca="1" si="87"/>
        <v>0</v>
      </c>
      <c r="AD240" s="71">
        <f t="shared" ca="1" si="81"/>
        <v>0</v>
      </c>
      <c r="AE240" s="72">
        <f t="shared" si="82"/>
        <v>0</v>
      </c>
      <c r="AF240" s="73">
        <f>IF(A240&gt;入力設定!$B$6*12,0,IF(AND(ISNUMBER(C240),C240&gt;=0,C240&lt;=1),0,1))</f>
        <v>0</v>
      </c>
    </row>
    <row r="241" spans="1:32" ht="21" customHeight="1">
      <c r="A241" s="68">
        <f>236</f>
        <v>236</v>
      </c>
      <c r="B241" s="69">
        <f>EDATE(入力設定!$B$7,A241-1)</f>
        <v>53479</v>
      </c>
      <c r="C241" s="80">
        <f>INDEX(入力設定!$C$15:$C$24,INT((A241-1)/60)+1)</f>
        <v>0.04</v>
      </c>
      <c r="D241" s="70">
        <f t="shared" ca="1" si="83"/>
        <v>15486305.383608412</v>
      </c>
      <c r="E241" s="70">
        <f t="shared" ca="1" si="84"/>
        <v>145</v>
      </c>
      <c r="F241" s="70">
        <f ca="1">IF(D241+Z241&lt;0.000001,0,IF(D241&lt;0.000001,F240,IF(OR(AE241=1,AND(K240&gt;0,入力設定!$B$8="返済額軽減型",入力設定!$B$11="翌月")),IF(C241=0,D241/MAX(1,E241),D241*(C241/12)/(1-(1+C241/12)^(-MAX(1,E241)))),F240)))</f>
        <v>134858.23151181499</v>
      </c>
      <c r="G241" s="70">
        <f t="shared" ca="1" si="66"/>
        <v>134858.23151181499</v>
      </c>
      <c r="H241" s="70">
        <f t="shared" ca="1" si="67"/>
        <v>51621.017945361375</v>
      </c>
      <c r="I241" s="70">
        <f t="shared" ca="1" si="68"/>
        <v>83237.213566453604</v>
      </c>
      <c r="J241" s="70">
        <f>SUMIFS(入力設定!$G$5:$G$24,入力設定!$F$5:$F$24,A241)</f>
        <v>0</v>
      </c>
      <c r="K241" s="70">
        <f t="shared" ca="1" si="69"/>
        <v>0</v>
      </c>
      <c r="L241" s="70">
        <f ca="1">IF(K241&gt;0,入力設定!$B$9,0)</f>
        <v>0</v>
      </c>
      <c r="M241" s="70">
        <f t="shared" ca="1" si="70"/>
        <v>15403068.170041958</v>
      </c>
      <c r="N241" s="70">
        <f ca="1">IF(M241+AA241&lt;0.000001,0,IF(AND(K241&gt;0,入力設定!$B$8="期間短縮型",AA241&lt;0.000001,F241&gt;M241*C241/12),MAX(1,MIN(E241-1,IF(C241=0,ROUNDUP(M241/F241,0),ROUNDUP(-LN(1-M241*(C241/12)/F241)/LN(1+C241/12),0)))),MAX(1,E241-1)))</f>
        <v>144</v>
      </c>
      <c r="O241" s="70">
        <f t="shared" ca="1" si="71"/>
        <v>134858.23151181499</v>
      </c>
      <c r="P241" s="70">
        <f t="shared" ca="1" si="85"/>
        <v>19379968.175886713</v>
      </c>
      <c r="Q241" s="70">
        <f ca="1">IF(OR(A241&gt;入力設定!$B$6*12,P241+AC241&lt;0.000001),0,IF(P241&lt;0.000001,Q240,IF(AE241=1,IF(C241=0,P241/MAX(1,入力設定!$B$6*12-A241+1),P241*(C241/12)/(1-(1+C241/12)^(-MAX(1,入力設定!$B$6*12-A241+1)))),Q240)))</f>
        <v>140524.47704383376</v>
      </c>
      <c r="R241" s="70">
        <f ca="1">IF(P241+AC241&lt;0.000001,0,IF(A241=入力設定!$B$6*12,P241+AB241+AC241,MIN(Q241,P241+AB241+AC241)))</f>
        <v>140524.47704383376</v>
      </c>
      <c r="S241" s="70">
        <f t="shared" ca="1" si="72"/>
        <v>64599.89391962238</v>
      </c>
      <c r="T241" s="70">
        <f t="shared" ca="1" si="73"/>
        <v>75924.583124211378</v>
      </c>
      <c r="U241" s="70">
        <f t="shared" ca="1" si="74"/>
        <v>19304043.5927625</v>
      </c>
      <c r="V241" s="70">
        <f t="shared" ca="1" si="75"/>
        <v>0</v>
      </c>
      <c r="W241" s="70">
        <f t="shared" ca="1" si="76"/>
        <v>0</v>
      </c>
      <c r="X241" s="70">
        <f t="shared" ca="1" si="77"/>
        <v>0</v>
      </c>
      <c r="Y241" s="71">
        <f t="shared" ca="1" si="78"/>
        <v>51621.017945361375</v>
      </c>
      <c r="Z241" s="71">
        <f t="shared" ca="1" si="86"/>
        <v>0</v>
      </c>
      <c r="AA241" s="71">
        <f t="shared" ca="1" si="79"/>
        <v>0</v>
      </c>
      <c r="AB241" s="71">
        <f t="shared" ca="1" si="80"/>
        <v>64599.89391962238</v>
      </c>
      <c r="AC241" s="71">
        <f t="shared" ca="1" si="87"/>
        <v>0</v>
      </c>
      <c r="AD241" s="71">
        <f t="shared" ca="1" si="81"/>
        <v>0</v>
      </c>
      <c r="AE241" s="72">
        <f t="shared" si="82"/>
        <v>0</v>
      </c>
      <c r="AF241" s="73">
        <f>IF(A241&gt;入力設定!$B$6*12,0,IF(AND(ISNUMBER(C241),C241&gt;=0,C241&lt;=1),0,1))</f>
        <v>0</v>
      </c>
    </row>
    <row r="242" spans="1:32" ht="21" customHeight="1">
      <c r="A242" s="68">
        <f>237</f>
        <v>237</v>
      </c>
      <c r="B242" s="69">
        <f>EDATE(入力設定!$B$7,A242-1)</f>
        <v>53509</v>
      </c>
      <c r="C242" s="80">
        <f>INDEX(入力設定!$C$15:$C$24,INT((A242-1)/60)+1)</f>
        <v>0.04</v>
      </c>
      <c r="D242" s="70">
        <f t="shared" ca="1" si="83"/>
        <v>15403068.170041958</v>
      </c>
      <c r="E242" s="70">
        <f t="shared" ca="1" si="84"/>
        <v>144</v>
      </c>
      <c r="F242" s="70">
        <f ca="1">IF(D242+Z242&lt;0.000001,0,IF(D242&lt;0.000001,F241,IF(OR(AE242=1,AND(K241&gt;0,入力設定!$B$8="返済額軽減型",入力設定!$B$11="翌月")),IF(C242=0,D242/MAX(1,E242),D242*(C242/12)/(1-(1+C242/12)^(-MAX(1,E242)))),F241)))</f>
        <v>134858.23151181499</v>
      </c>
      <c r="G242" s="70">
        <f t="shared" ca="1" si="66"/>
        <v>134858.23151181499</v>
      </c>
      <c r="H242" s="70">
        <f t="shared" ca="1" si="67"/>
        <v>51343.560566806525</v>
      </c>
      <c r="I242" s="70">
        <f t="shared" ca="1" si="68"/>
        <v>83514.67094500846</v>
      </c>
      <c r="J242" s="70">
        <f>SUMIFS(入力設定!$G$5:$G$24,入力設定!$F$5:$F$24,A242)</f>
        <v>0</v>
      </c>
      <c r="K242" s="70">
        <f t="shared" ca="1" si="69"/>
        <v>0</v>
      </c>
      <c r="L242" s="70">
        <f ca="1">IF(K242&gt;0,入力設定!$B$9,0)</f>
        <v>0</v>
      </c>
      <c r="M242" s="70">
        <f t="shared" ca="1" si="70"/>
        <v>15319553.499096949</v>
      </c>
      <c r="N242" s="70">
        <f ca="1">IF(M242+AA242&lt;0.000001,0,IF(AND(K242&gt;0,入力設定!$B$8="期間短縮型",AA242&lt;0.000001,F242&gt;M242*C242/12),MAX(1,MIN(E242-1,IF(C242=0,ROUNDUP(M242/F242,0),ROUNDUP(-LN(1-M242*(C242/12)/F242)/LN(1+C242/12),0)))),MAX(1,E242-1)))</f>
        <v>143</v>
      </c>
      <c r="O242" s="70">
        <f t="shared" ca="1" si="71"/>
        <v>134858.23151181499</v>
      </c>
      <c r="P242" s="70">
        <f t="shared" ca="1" si="85"/>
        <v>19304043.5927625</v>
      </c>
      <c r="Q242" s="70">
        <f ca="1">IF(OR(A242&gt;入力設定!$B$6*12,P242+AC242&lt;0.000001),0,IF(P242&lt;0.000001,Q241,IF(AE242=1,IF(C242=0,P242/MAX(1,入力設定!$B$6*12-A242+1),P242*(C242/12)/(1-(1+C242/12)^(-MAX(1,入力設定!$B$6*12-A242+1)))),Q241)))</f>
        <v>140524.47704383376</v>
      </c>
      <c r="R242" s="70">
        <f ca="1">IF(P242+AC242&lt;0.000001,0,IF(A242=入力設定!$B$6*12,P242+AB242+AC242,MIN(Q242,P242+AB242+AC242)))</f>
        <v>140524.47704383376</v>
      </c>
      <c r="S242" s="70">
        <f t="shared" ca="1" si="72"/>
        <v>64346.811975875004</v>
      </c>
      <c r="T242" s="70">
        <f t="shared" ca="1" si="73"/>
        <v>76177.665067958762</v>
      </c>
      <c r="U242" s="70">
        <f t="shared" ca="1" si="74"/>
        <v>19227865.92769454</v>
      </c>
      <c r="V242" s="70">
        <f t="shared" ca="1" si="75"/>
        <v>0</v>
      </c>
      <c r="W242" s="70">
        <f t="shared" ca="1" si="76"/>
        <v>0</v>
      </c>
      <c r="X242" s="70">
        <f t="shared" ca="1" si="77"/>
        <v>0</v>
      </c>
      <c r="Y242" s="71">
        <f t="shared" ca="1" si="78"/>
        <v>51343.560566806525</v>
      </c>
      <c r="Z242" s="71">
        <f t="shared" ca="1" si="86"/>
        <v>0</v>
      </c>
      <c r="AA242" s="71">
        <f t="shared" ca="1" si="79"/>
        <v>0</v>
      </c>
      <c r="AB242" s="71">
        <f t="shared" ca="1" si="80"/>
        <v>64346.811975875004</v>
      </c>
      <c r="AC242" s="71">
        <f t="shared" ca="1" si="87"/>
        <v>0</v>
      </c>
      <c r="AD242" s="71">
        <f t="shared" ca="1" si="81"/>
        <v>0</v>
      </c>
      <c r="AE242" s="72">
        <f t="shared" si="82"/>
        <v>0</v>
      </c>
      <c r="AF242" s="73">
        <f>IF(A242&gt;入力設定!$B$6*12,0,IF(AND(ISNUMBER(C242),C242&gt;=0,C242&lt;=1),0,1))</f>
        <v>0</v>
      </c>
    </row>
    <row r="243" spans="1:32" ht="21" customHeight="1">
      <c r="A243" s="68">
        <f>238</f>
        <v>238</v>
      </c>
      <c r="B243" s="69">
        <f>EDATE(入力設定!$B$7,A243-1)</f>
        <v>53540</v>
      </c>
      <c r="C243" s="80">
        <f>INDEX(入力設定!$C$15:$C$24,INT((A243-1)/60)+1)</f>
        <v>0.04</v>
      </c>
      <c r="D243" s="70">
        <f t="shared" ca="1" si="83"/>
        <v>15319553.499096949</v>
      </c>
      <c r="E243" s="70">
        <f t="shared" ca="1" si="84"/>
        <v>143</v>
      </c>
      <c r="F243" s="70">
        <f ca="1">IF(D243+Z243&lt;0.000001,0,IF(D243&lt;0.000001,F242,IF(OR(AE243=1,AND(K242&gt;0,入力設定!$B$8="返済額軽減型",入力設定!$B$11="翌月")),IF(C243=0,D243/MAX(1,E243),D243*(C243/12)/(1-(1+C243/12)^(-MAX(1,E243)))),F242)))</f>
        <v>134858.23151181499</v>
      </c>
      <c r="G243" s="70">
        <f t="shared" ca="1" si="66"/>
        <v>134858.23151181499</v>
      </c>
      <c r="H243" s="70">
        <f t="shared" ca="1" si="67"/>
        <v>51065.178330323164</v>
      </c>
      <c r="I243" s="70">
        <f t="shared" ca="1" si="68"/>
        <v>83793.053181491821</v>
      </c>
      <c r="J243" s="70">
        <f>SUMIFS(入力設定!$G$5:$G$24,入力設定!$F$5:$F$24,A243)</f>
        <v>0</v>
      </c>
      <c r="K243" s="70">
        <f t="shared" ca="1" si="69"/>
        <v>0</v>
      </c>
      <c r="L243" s="70">
        <f ca="1">IF(K243&gt;0,入力設定!$B$9,0)</f>
        <v>0</v>
      </c>
      <c r="M243" s="70">
        <f t="shared" ca="1" si="70"/>
        <v>15235760.445915457</v>
      </c>
      <c r="N243" s="70">
        <f ca="1">IF(M243+AA243&lt;0.000001,0,IF(AND(K243&gt;0,入力設定!$B$8="期間短縮型",AA243&lt;0.000001,F243&gt;M243*C243/12),MAX(1,MIN(E243-1,IF(C243=0,ROUNDUP(M243/F243,0),ROUNDUP(-LN(1-M243*(C243/12)/F243)/LN(1+C243/12),0)))),MAX(1,E243-1)))</f>
        <v>142</v>
      </c>
      <c r="O243" s="70">
        <f t="shared" ca="1" si="71"/>
        <v>134858.23151181499</v>
      </c>
      <c r="P243" s="70">
        <f t="shared" ca="1" si="85"/>
        <v>19227865.92769454</v>
      </c>
      <c r="Q243" s="70">
        <f ca="1">IF(OR(A243&gt;入力設定!$B$6*12,P243+AC243&lt;0.000001),0,IF(P243&lt;0.000001,Q242,IF(AE243=1,IF(C243=0,P243/MAX(1,入力設定!$B$6*12-A243+1),P243*(C243/12)/(1-(1+C243/12)^(-MAX(1,入力設定!$B$6*12-A243+1)))),Q242)))</f>
        <v>140524.47704383376</v>
      </c>
      <c r="R243" s="70">
        <f ca="1">IF(P243+AC243&lt;0.000001,0,IF(A243=入力設定!$B$6*12,P243+AB243+AC243,MIN(Q243,P243+AB243+AC243)))</f>
        <v>140524.47704383376</v>
      </c>
      <c r="S243" s="70">
        <f t="shared" ca="1" si="72"/>
        <v>64092.886425648467</v>
      </c>
      <c r="T243" s="70">
        <f t="shared" ca="1" si="73"/>
        <v>76431.590618185292</v>
      </c>
      <c r="U243" s="70">
        <f t="shared" ca="1" si="74"/>
        <v>19151434.337076355</v>
      </c>
      <c r="V243" s="70">
        <f t="shared" ca="1" si="75"/>
        <v>0</v>
      </c>
      <c r="W243" s="70">
        <f t="shared" ca="1" si="76"/>
        <v>0</v>
      </c>
      <c r="X243" s="70">
        <f t="shared" ca="1" si="77"/>
        <v>0</v>
      </c>
      <c r="Y243" s="71">
        <f t="shared" ca="1" si="78"/>
        <v>51065.178330323164</v>
      </c>
      <c r="Z243" s="71">
        <f t="shared" ca="1" si="86"/>
        <v>0</v>
      </c>
      <c r="AA243" s="71">
        <f t="shared" ca="1" si="79"/>
        <v>0</v>
      </c>
      <c r="AB243" s="71">
        <f t="shared" ca="1" si="80"/>
        <v>64092.886425648467</v>
      </c>
      <c r="AC243" s="71">
        <f t="shared" ca="1" si="87"/>
        <v>0</v>
      </c>
      <c r="AD243" s="71">
        <f t="shared" ca="1" si="81"/>
        <v>0</v>
      </c>
      <c r="AE243" s="72">
        <f t="shared" si="82"/>
        <v>0</v>
      </c>
      <c r="AF243" s="73">
        <f>IF(A243&gt;入力設定!$B$6*12,0,IF(AND(ISNUMBER(C243),C243&gt;=0,C243&lt;=1),0,1))</f>
        <v>0</v>
      </c>
    </row>
    <row r="244" spans="1:32" ht="21" customHeight="1">
      <c r="A244" s="68">
        <f>239</f>
        <v>239</v>
      </c>
      <c r="B244" s="69">
        <f>EDATE(入力設定!$B$7,A244-1)</f>
        <v>53571</v>
      </c>
      <c r="C244" s="80">
        <f>INDEX(入力設定!$C$15:$C$24,INT((A244-1)/60)+1)</f>
        <v>0.04</v>
      </c>
      <c r="D244" s="70">
        <f t="shared" ca="1" si="83"/>
        <v>15235760.445915457</v>
      </c>
      <c r="E244" s="70">
        <f t="shared" ca="1" si="84"/>
        <v>142</v>
      </c>
      <c r="F244" s="70">
        <f ca="1">IF(D244+Z244&lt;0.000001,0,IF(D244&lt;0.000001,F243,IF(OR(AE244=1,AND(K243&gt;0,入力設定!$B$8="返済額軽減型",入力設定!$B$11="翌月")),IF(C244=0,D244/MAX(1,E244),D244*(C244/12)/(1-(1+C244/12)^(-MAX(1,E244)))),F243)))</f>
        <v>134858.23151181499</v>
      </c>
      <c r="G244" s="70">
        <f t="shared" ca="1" si="66"/>
        <v>134858.23151181499</v>
      </c>
      <c r="H244" s="70">
        <f t="shared" ca="1" si="67"/>
        <v>50785.868153051524</v>
      </c>
      <c r="I244" s="70">
        <f t="shared" ca="1" si="68"/>
        <v>84072.363358763454</v>
      </c>
      <c r="J244" s="70">
        <f>SUMIFS(入力設定!$G$5:$G$24,入力設定!$F$5:$F$24,A244)</f>
        <v>0</v>
      </c>
      <c r="K244" s="70">
        <f t="shared" ca="1" si="69"/>
        <v>0</v>
      </c>
      <c r="L244" s="70">
        <f ca="1">IF(K244&gt;0,入力設定!$B$9,0)</f>
        <v>0</v>
      </c>
      <c r="M244" s="70">
        <f t="shared" ca="1" si="70"/>
        <v>15151688.082556693</v>
      </c>
      <c r="N244" s="70">
        <f ca="1">IF(M244+AA244&lt;0.000001,0,IF(AND(K244&gt;0,入力設定!$B$8="期間短縮型",AA244&lt;0.000001,F244&gt;M244*C244/12),MAX(1,MIN(E244-1,IF(C244=0,ROUNDUP(M244/F244,0),ROUNDUP(-LN(1-M244*(C244/12)/F244)/LN(1+C244/12),0)))),MAX(1,E244-1)))</f>
        <v>141</v>
      </c>
      <c r="O244" s="70">
        <f t="shared" ca="1" si="71"/>
        <v>134858.23151181499</v>
      </c>
      <c r="P244" s="70">
        <f t="shared" ca="1" si="85"/>
        <v>19151434.337076355</v>
      </c>
      <c r="Q244" s="70">
        <f ca="1">IF(OR(A244&gt;入力設定!$B$6*12,P244+AC244&lt;0.000001),0,IF(P244&lt;0.000001,Q243,IF(AE244=1,IF(C244=0,P244/MAX(1,入力設定!$B$6*12-A244+1),P244*(C244/12)/(1-(1+C244/12)^(-MAX(1,入力設定!$B$6*12-A244+1)))),Q243)))</f>
        <v>140524.47704383376</v>
      </c>
      <c r="R244" s="70">
        <f ca="1">IF(P244+AC244&lt;0.000001,0,IF(A244=入力設定!$B$6*12,P244+AB244+AC244,MIN(Q244,P244+AB244+AC244)))</f>
        <v>140524.47704383376</v>
      </c>
      <c r="S244" s="70">
        <f t="shared" ca="1" si="72"/>
        <v>63838.114456921183</v>
      </c>
      <c r="T244" s="70">
        <f t="shared" ca="1" si="73"/>
        <v>76686.362586912583</v>
      </c>
      <c r="U244" s="70">
        <f t="shared" ca="1" si="74"/>
        <v>19074747.974489443</v>
      </c>
      <c r="V244" s="70">
        <f t="shared" ca="1" si="75"/>
        <v>0</v>
      </c>
      <c r="W244" s="70">
        <f t="shared" ca="1" si="76"/>
        <v>0</v>
      </c>
      <c r="X244" s="70">
        <f t="shared" ca="1" si="77"/>
        <v>0</v>
      </c>
      <c r="Y244" s="71">
        <f t="shared" ca="1" si="78"/>
        <v>50785.868153051524</v>
      </c>
      <c r="Z244" s="71">
        <f t="shared" ca="1" si="86"/>
        <v>0</v>
      </c>
      <c r="AA244" s="71">
        <f t="shared" ca="1" si="79"/>
        <v>0</v>
      </c>
      <c r="AB244" s="71">
        <f t="shared" ca="1" si="80"/>
        <v>63838.114456921183</v>
      </c>
      <c r="AC244" s="71">
        <f t="shared" ca="1" si="87"/>
        <v>0</v>
      </c>
      <c r="AD244" s="71">
        <f t="shared" ca="1" si="81"/>
        <v>0</v>
      </c>
      <c r="AE244" s="72">
        <f t="shared" si="82"/>
        <v>0</v>
      </c>
      <c r="AF244" s="73">
        <f>IF(A244&gt;入力設定!$B$6*12,0,IF(AND(ISNUMBER(C244),C244&gt;=0,C244&lt;=1),0,1))</f>
        <v>0</v>
      </c>
    </row>
    <row r="245" spans="1:32" ht="21" customHeight="1">
      <c r="A245" s="68">
        <f>240</f>
        <v>240</v>
      </c>
      <c r="B245" s="69">
        <f>EDATE(入力設定!$B$7,A245-1)</f>
        <v>53601</v>
      </c>
      <c r="C245" s="80">
        <f>INDEX(入力設定!$C$15:$C$24,INT((A245-1)/60)+1)</f>
        <v>0.04</v>
      </c>
      <c r="D245" s="70">
        <f t="shared" ca="1" si="83"/>
        <v>15151688.082556693</v>
      </c>
      <c r="E245" s="70">
        <f t="shared" ca="1" si="84"/>
        <v>141</v>
      </c>
      <c r="F245" s="70">
        <f ca="1">IF(D245+Z245&lt;0.000001,0,IF(D245&lt;0.000001,F244,IF(OR(AE245=1,AND(K244&gt;0,入力設定!$B$8="返済額軽減型",入力設定!$B$11="翌月")),IF(C245=0,D245/MAX(1,E245),D245*(C245/12)/(1-(1+C245/12)^(-MAX(1,E245)))),F244)))</f>
        <v>134858.23151181499</v>
      </c>
      <c r="G245" s="70">
        <f t="shared" ca="1" si="66"/>
        <v>134858.23151181499</v>
      </c>
      <c r="H245" s="70">
        <f t="shared" ca="1" si="67"/>
        <v>50505.626941855648</v>
      </c>
      <c r="I245" s="70">
        <f t="shared" ca="1" si="68"/>
        <v>84352.604569959338</v>
      </c>
      <c r="J245" s="70">
        <f>SUMIFS(入力設定!$G$5:$G$24,入力設定!$F$5:$F$24,A245)</f>
        <v>0</v>
      </c>
      <c r="K245" s="70">
        <f t="shared" ca="1" si="69"/>
        <v>0</v>
      </c>
      <c r="L245" s="70">
        <f ca="1">IF(K245&gt;0,入力設定!$B$9,0)</f>
        <v>0</v>
      </c>
      <c r="M245" s="70">
        <f t="shared" ca="1" si="70"/>
        <v>15067335.477986734</v>
      </c>
      <c r="N245" s="70">
        <f ca="1">IF(M245+AA245&lt;0.000001,0,IF(AND(K245&gt;0,入力設定!$B$8="期間短縮型",AA245&lt;0.000001,F245&gt;M245*C245/12),MAX(1,MIN(E245-1,IF(C245=0,ROUNDUP(M245/F245,0),ROUNDUP(-LN(1-M245*(C245/12)/F245)/LN(1+C245/12),0)))),MAX(1,E245-1)))</f>
        <v>140</v>
      </c>
      <c r="O245" s="70">
        <f t="shared" ca="1" si="71"/>
        <v>134858.23151181499</v>
      </c>
      <c r="P245" s="70">
        <f t="shared" ca="1" si="85"/>
        <v>19074747.974489443</v>
      </c>
      <c r="Q245" s="70">
        <f ca="1">IF(OR(A245&gt;入力設定!$B$6*12,P245+AC245&lt;0.000001),0,IF(P245&lt;0.000001,Q244,IF(AE245=1,IF(C245=0,P245/MAX(1,入力設定!$B$6*12-A245+1),P245*(C245/12)/(1-(1+C245/12)^(-MAX(1,入力設定!$B$6*12-A245+1)))),Q244)))</f>
        <v>140524.47704383376</v>
      </c>
      <c r="R245" s="70">
        <f ca="1">IF(P245+AC245&lt;0.000001,0,IF(A245=入力設定!$B$6*12,P245+AB245+AC245,MIN(Q245,P245+AB245+AC245)))</f>
        <v>140524.47704383376</v>
      </c>
      <c r="S245" s="70">
        <f t="shared" ca="1" si="72"/>
        <v>63582.493248298146</v>
      </c>
      <c r="T245" s="70">
        <f t="shared" ca="1" si="73"/>
        <v>76941.983795535605</v>
      </c>
      <c r="U245" s="70">
        <f t="shared" ca="1" si="74"/>
        <v>18997805.990693908</v>
      </c>
      <c r="V245" s="70">
        <f t="shared" ca="1" si="75"/>
        <v>0</v>
      </c>
      <c r="W245" s="70">
        <f t="shared" ca="1" si="76"/>
        <v>0</v>
      </c>
      <c r="X245" s="70">
        <f t="shared" ca="1" si="77"/>
        <v>0</v>
      </c>
      <c r="Y245" s="71">
        <f t="shared" ca="1" si="78"/>
        <v>50505.626941855648</v>
      </c>
      <c r="Z245" s="71">
        <f t="shared" ca="1" si="86"/>
        <v>0</v>
      </c>
      <c r="AA245" s="71">
        <f t="shared" ca="1" si="79"/>
        <v>0</v>
      </c>
      <c r="AB245" s="71">
        <f t="shared" ca="1" si="80"/>
        <v>63582.493248298146</v>
      </c>
      <c r="AC245" s="71">
        <f t="shared" ca="1" si="87"/>
        <v>0</v>
      </c>
      <c r="AD245" s="71">
        <f t="shared" ca="1" si="81"/>
        <v>0</v>
      </c>
      <c r="AE245" s="72">
        <f t="shared" si="82"/>
        <v>0</v>
      </c>
      <c r="AF245" s="73">
        <f>IF(A245&gt;入力設定!$B$6*12,0,IF(AND(ISNUMBER(C245),C245&gt;=0,C245&lt;=1),0,1))</f>
        <v>0</v>
      </c>
    </row>
    <row r="246" spans="1:32" ht="21" customHeight="1">
      <c r="A246" s="68">
        <f>241</f>
        <v>241</v>
      </c>
      <c r="B246" s="69">
        <f>EDATE(入力設定!$B$7,A246-1)</f>
        <v>53632</v>
      </c>
      <c r="C246" s="80">
        <f>INDEX(入力設定!$C$15:$C$24,INT((A246-1)/60)+1)</f>
        <v>0.05</v>
      </c>
      <c r="D246" s="70">
        <f t="shared" ca="1" si="83"/>
        <v>15067335.477986734</v>
      </c>
      <c r="E246" s="70">
        <f t="shared" ca="1" si="84"/>
        <v>140</v>
      </c>
      <c r="F246" s="70">
        <f ca="1">IF(D246+Z246&lt;0.000001,0,IF(D246&lt;0.000001,F245,IF(OR(AE246=1,AND(K245&gt;0,入力設定!$B$8="返済額軽減型",入力設定!$B$11="翌月")),IF(C246=0,D246/MAX(1,E246),D246*(C246/12)/(1-(1+C246/12)^(-MAX(1,E246)))),F245)))</f>
        <v>142266.59803560167</v>
      </c>
      <c r="G246" s="70">
        <f t="shared" ca="1" si="66"/>
        <v>142266.59803560167</v>
      </c>
      <c r="H246" s="70">
        <f t="shared" ca="1" si="67"/>
        <v>62780.564491611403</v>
      </c>
      <c r="I246" s="70">
        <f t="shared" ca="1" si="68"/>
        <v>79486.033543990256</v>
      </c>
      <c r="J246" s="70">
        <f>SUMIFS(入力設定!$G$5:$G$24,入力設定!$F$5:$F$24,A246)</f>
        <v>0</v>
      </c>
      <c r="K246" s="70">
        <f t="shared" ca="1" si="69"/>
        <v>0</v>
      </c>
      <c r="L246" s="70">
        <f ca="1">IF(K246&gt;0,入力設定!$B$9,0)</f>
        <v>0</v>
      </c>
      <c r="M246" s="70">
        <f t="shared" ca="1" si="70"/>
        <v>14987849.444442743</v>
      </c>
      <c r="N246" s="70">
        <f ca="1">IF(M246+AA246&lt;0.000001,0,IF(AND(K246&gt;0,入力設定!$B$8="期間短縮型",AA246&lt;0.000001,F246&gt;M246*C246/12),MAX(1,MIN(E246-1,IF(C246=0,ROUNDUP(M246/F246,0),ROUNDUP(-LN(1-M246*(C246/12)/F246)/LN(1+C246/12),0)))),MAX(1,E246-1)))</f>
        <v>139</v>
      </c>
      <c r="O246" s="70">
        <f t="shared" ca="1" si="71"/>
        <v>142266.59803560167</v>
      </c>
      <c r="P246" s="70">
        <f t="shared" ca="1" si="85"/>
        <v>18997805.990693908</v>
      </c>
      <c r="Q246" s="70">
        <f ca="1">IF(OR(A246&gt;入力設定!$B$6*12,P246+AC246&lt;0.000001),0,IF(P246&lt;0.000001,Q245,IF(AE246=1,IF(C246=0,P246/MAX(1,入力設定!$B$6*12-A246+1),P246*(C246/12)/(1-(1+C246/12)^(-MAX(1,入力設定!$B$6*12-A246+1)))),Q245)))</f>
        <v>150233.43899513036</v>
      </c>
      <c r="R246" s="70">
        <f ca="1">IF(P246+AC246&lt;0.000001,0,IF(A246=入力設定!$B$6*12,P246+AB246+AC246,MIN(Q246,P246+AB246+AC246)))</f>
        <v>150233.43899513036</v>
      </c>
      <c r="S246" s="70">
        <f t="shared" ca="1" si="72"/>
        <v>79157.524961224626</v>
      </c>
      <c r="T246" s="70">
        <f t="shared" ca="1" si="73"/>
        <v>71075.914033905734</v>
      </c>
      <c r="U246" s="70">
        <f t="shared" ca="1" si="74"/>
        <v>18926730.076660004</v>
      </c>
      <c r="V246" s="70">
        <f t="shared" ca="1" si="75"/>
        <v>0</v>
      </c>
      <c r="W246" s="70">
        <f t="shared" ca="1" si="76"/>
        <v>0</v>
      </c>
      <c r="X246" s="70">
        <f t="shared" ca="1" si="77"/>
        <v>0</v>
      </c>
      <c r="Y246" s="71">
        <f t="shared" ca="1" si="78"/>
        <v>62780.564491611403</v>
      </c>
      <c r="Z246" s="71">
        <f t="shared" ca="1" si="86"/>
        <v>0</v>
      </c>
      <c r="AA246" s="71">
        <f t="shared" ca="1" si="79"/>
        <v>0</v>
      </c>
      <c r="AB246" s="71">
        <f t="shared" ca="1" si="80"/>
        <v>79157.524961224626</v>
      </c>
      <c r="AC246" s="71">
        <f t="shared" ca="1" si="87"/>
        <v>0</v>
      </c>
      <c r="AD246" s="71">
        <f t="shared" ca="1" si="81"/>
        <v>0</v>
      </c>
      <c r="AE246" s="72">
        <f t="shared" si="82"/>
        <v>1</v>
      </c>
      <c r="AF246" s="73">
        <f>IF(A246&gt;入力設定!$B$6*12,0,IF(AND(ISNUMBER(C246),C246&gt;=0,C246&lt;=1),0,1))</f>
        <v>0</v>
      </c>
    </row>
    <row r="247" spans="1:32" ht="21" customHeight="1">
      <c r="A247" s="68">
        <f>242</f>
        <v>242</v>
      </c>
      <c r="B247" s="69">
        <f>EDATE(入力設定!$B$7,A247-1)</f>
        <v>53662</v>
      </c>
      <c r="C247" s="80">
        <f>INDEX(入力設定!$C$15:$C$24,INT((A247-1)/60)+1)</f>
        <v>0.05</v>
      </c>
      <c r="D247" s="70">
        <f t="shared" ca="1" si="83"/>
        <v>14987849.444442743</v>
      </c>
      <c r="E247" s="70">
        <f t="shared" ca="1" si="84"/>
        <v>139</v>
      </c>
      <c r="F247" s="70">
        <f ca="1">IF(D247+Z247&lt;0.000001,0,IF(D247&lt;0.000001,F246,IF(OR(AE247=1,AND(K246&gt;0,入力設定!$B$8="返済額軽減型",入力設定!$B$11="翌月")),IF(C247=0,D247/MAX(1,E247),D247*(C247/12)/(1-(1+C247/12)^(-MAX(1,E247)))),F246)))</f>
        <v>142266.59803560167</v>
      </c>
      <c r="G247" s="70">
        <f t="shared" ca="1" si="66"/>
        <v>142266.59803560167</v>
      </c>
      <c r="H247" s="70">
        <f t="shared" ca="1" si="67"/>
        <v>62449.372685178103</v>
      </c>
      <c r="I247" s="70">
        <f t="shared" ca="1" si="68"/>
        <v>79817.22535042357</v>
      </c>
      <c r="J247" s="70">
        <f>SUMIFS(入力設定!$G$5:$G$24,入力設定!$F$5:$F$24,A247)</f>
        <v>0</v>
      </c>
      <c r="K247" s="70">
        <f t="shared" ca="1" si="69"/>
        <v>0</v>
      </c>
      <c r="L247" s="70">
        <f ca="1">IF(K247&gt;0,入力設定!$B$9,0)</f>
        <v>0</v>
      </c>
      <c r="M247" s="70">
        <f t="shared" ca="1" si="70"/>
        <v>14908032.219092321</v>
      </c>
      <c r="N247" s="70">
        <f ca="1">IF(M247+AA247&lt;0.000001,0,IF(AND(K247&gt;0,入力設定!$B$8="期間短縮型",AA247&lt;0.000001,F247&gt;M247*C247/12),MAX(1,MIN(E247-1,IF(C247=0,ROUNDUP(M247/F247,0),ROUNDUP(-LN(1-M247*(C247/12)/F247)/LN(1+C247/12),0)))),MAX(1,E247-1)))</f>
        <v>138</v>
      </c>
      <c r="O247" s="70">
        <f t="shared" ca="1" si="71"/>
        <v>142266.59803560167</v>
      </c>
      <c r="P247" s="70">
        <f t="shared" ca="1" si="85"/>
        <v>18926730.076660004</v>
      </c>
      <c r="Q247" s="70">
        <f ca="1">IF(OR(A247&gt;入力設定!$B$6*12,P247+AC247&lt;0.000001),0,IF(P247&lt;0.000001,Q246,IF(AE247=1,IF(C247=0,P247/MAX(1,入力設定!$B$6*12-A247+1),P247*(C247/12)/(1-(1+C247/12)^(-MAX(1,入力設定!$B$6*12-A247+1)))),Q246)))</f>
        <v>150233.43899513036</v>
      </c>
      <c r="R247" s="70">
        <f ca="1">IF(P247+AC247&lt;0.000001,0,IF(A247=入力設定!$B$6*12,P247+AB247+AC247,MIN(Q247,P247+AB247+AC247)))</f>
        <v>150233.43899513036</v>
      </c>
      <c r="S247" s="70">
        <f t="shared" ca="1" si="72"/>
        <v>78861.375319416678</v>
      </c>
      <c r="T247" s="70">
        <f t="shared" ca="1" si="73"/>
        <v>71372.063675713682</v>
      </c>
      <c r="U247" s="70">
        <f t="shared" ca="1" si="74"/>
        <v>18855358.012984291</v>
      </c>
      <c r="V247" s="70">
        <f t="shared" ca="1" si="75"/>
        <v>0</v>
      </c>
      <c r="W247" s="70">
        <f t="shared" ca="1" si="76"/>
        <v>0</v>
      </c>
      <c r="X247" s="70">
        <f t="shared" ca="1" si="77"/>
        <v>0</v>
      </c>
      <c r="Y247" s="71">
        <f t="shared" ca="1" si="78"/>
        <v>62449.372685178103</v>
      </c>
      <c r="Z247" s="71">
        <f t="shared" ca="1" si="86"/>
        <v>0</v>
      </c>
      <c r="AA247" s="71">
        <f t="shared" ca="1" si="79"/>
        <v>0</v>
      </c>
      <c r="AB247" s="71">
        <f t="shared" ca="1" si="80"/>
        <v>78861.375319416678</v>
      </c>
      <c r="AC247" s="71">
        <f t="shared" ca="1" si="87"/>
        <v>0</v>
      </c>
      <c r="AD247" s="71">
        <f t="shared" ca="1" si="81"/>
        <v>0</v>
      </c>
      <c r="AE247" s="72">
        <f t="shared" si="82"/>
        <v>0</v>
      </c>
      <c r="AF247" s="73">
        <f>IF(A247&gt;入力設定!$B$6*12,0,IF(AND(ISNUMBER(C247),C247&gt;=0,C247&lt;=1),0,1))</f>
        <v>0</v>
      </c>
    </row>
    <row r="248" spans="1:32" ht="21" customHeight="1">
      <c r="A248" s="68">
        <f>243</f>
        <v>243</v>
      </c>
      <c r="B248" s="69">
        <f>EDATE(入力設定!$B$7,A248-1)</f>
        <v>53693</v>
      </c>
      <c r="C248" s="80">
        <f>INDEX(入力設定!$C$15:$C$24,INT((A248-1)/60)+1)</f>
        <v>0.05</v>
      </c>
      <c r="D248" s="70">
        <f t="shared" ca="1" si="83"/>
        <v>14908032.219092321</v>
      </c>
      <c r="E248" s="70">
        <f t="shared" ca="1" si="84"/>
        <v>138</v>
      </c>
      <c r="F248" s="70">
        <f ca="1">IF(D248+Z248&lt;0.000001,0,IF(D248&lt;0.000001,F247,IF(OR(AE248=1,AND(K247&gt;0,入力設定!$B$8="返済額軽減型",入力設定!$B$11="翌月")),IF(C248=0,D248/MAX(1,E248),D248*(C248/12)/(1-(1+C248/12)^(-MAX(1,E248)))),F247)))</f>
        <v>142266.59803560167</v>
      </c>
      <c r="G248" s="70">
        <f t="shared" ca="1" si="66"/>
        <v>142266.59803560167</v>
      </c>
      <c r="H248" s="70">
        <f t="shared" ca="1" si="67"/>
        <v>62116.800912884675</v>
      </c>
      <c r="I248" s="70">
        <f t="shared" ca="1" si="68"/>
        <v>80149.797122716991</v>
      </c>
      <c r="J248" s="70">
        <f>SUMIFS(入力設定!$G$5:$G$24,入力設定!$F$5:$F$24,A248)</f>
        <v>0</v>
      </c>
      <c r="K248" s="70">
        <f t="shared" ca="1" si="69"/>
        <v>0</v>
      </c>
      <c r="L248" s="70">
        <f ca="1">IF(K248&gt;0,入力設定!$B$9,0)</f>
        <v>0</v>
      </c>
      <c r="M248" s="70">
        <f t="shared" ca="1" si="70"/>
        <v>14827882.421969604</v>
      </c>
      <c r="N248" s="70">
        <f ca="1">IF(M248+AA248&lt;0.000001,0,IF(AND(K248&gt;0,入力設定!$B$8="期間短縮型",AA248&lt;0.000001,F248&gt;M248*C248/12),MAX(1,MIN(E248-1,IF(C248=0,ROUNDUP(M248/F248,0),ROUNDUP(-LN(1-M248*(C248/12)/F248)/LN(1+C248/12),0)))),MAX(1,E248-1)))</f>
        <v>137</v>
      </c>
      <c r="O248" s="70">
        <f t="shared" ca="1" si="71"/>
        <v>142266.59803560167</v>
      </c>
      <c r="P248" s="70">
        <f t="shared" ca="1" si="85"/>
        <v>18855358.012984291</v>
      </c>
      <c r="Q248" s="70">
        <f ca="1">IF(OR(A248&gt;入力設定!$B$6*12,P248+AC248&lt;0.000001),0,IF(P248&lt;0.000001,Q247,IF(AE248=1,IF(C248=0,P248/MAX(1,入力設定!$B$6*12-A248+1),P248*(C248/12)/(1-(1+C248/12)^(-MAX(1,入力設定!$B$6*12-A248+1)))),Q247)))</f>
        <v>150233.43899513036</v>
      </c>
      <c r="R248" s="70">
        <f ca="1">IF(P248+AC248&lt;0.000001,0,IF(A248=入力設定!$B$6*12,P248+AB248+AC248,MIN(Q248,P248+AB248+AC248)))</f>
        <v>150233.43899513036</v>
      </c>
      <c r="S248" s="70">
        <f t="shared" ca="1" si="72"/>
        <v>78563.991720767881</v>
      </c>
      <c r="T248" s="70">
        <f t="shared" ca="1" si="73"/>
        <v>71669.447274362479</v>
      </c>
      <c r="U248" s="70">
        <f t="shared" ca="1" si="74"/>
        <v>18783688.56570993</v>
      </c>
      <c r="V248" s="70">
        <f t="shared" ca="1" si="75"/>
        <v>0</v>
      </c>
      <c r="W248" s="70">
        <f t="shared" ca="1" si="76"/>
        <v>0</v>
      </c>
      <c r="X248" s="70">
        <f t="shared" ca="1" si="77"/>
        <v>0</v>
      </c>
      <c r="Y248" s="71">
        <f t="shared" ca="1" si="78"/>
        <v>62116.800912884675</v>
      </c>
      <c r="Z248" s="71">
        <f t="shared" ca="1" si="86"/>
        <v>0</v>
      </c>
      <c r="AA248" s="71">
        <f t="shared" ca="1" si="79"/>
        <v>0</v>
      </c>
      <c r="AB248" s="71">
        <f t="shared" ca="1" si="80"/>
        <v>78563.991720767881</v>
      </c>
      <c r="AC248" s="71">
        <f t="shared" ca="1" si="87"/>
        <v>0</v>
      </c>
      <c r="AD248" s="71">
        <f t="shared" ca="1" si="81"/>
        <v>0</v>
      </c>
      <c r="AE248" s="72">
        <f t="shared" si="82"/>
        <v>0</v>
      </c>
      <c r="AF248" s="73">
        <f>IF(A248&gt;入力設定!$B$6*12,0,IF(AND(ISNUMBER(C248),C248&gt;=0,C248&lt;=1),0,1))</f>
        <v>0</v>
      </c>
    </row>
    <row r="249" spans="1:32" ht="21" customHeight="1">
      <c r="A249" s="68">
        <f>244</f>
        <v>244</v>
      </c>
      <c r="B249" s="69">
        <f>EDATE(入力設定!$B$7,A249-1)</f>
        <v>53724</v>
      </c>
      <c r="C249" s="80">
        <f>INDEX(入力設定!$C$15:$C$24,INT((A249-1)/60)+1)</f>
        <v>0.05</v>
      </c>
      <c r="D249" s="70">
        <f t="shared" ca="1" si="83"/>
        <v>14827882.421969604</v>
      </c>
      <c r="E249" s="70">
        <f t="shared" ca="1" si="84"/>
        <v>137</v>
      </c>
      <c r="F249" s="70">
        <f ca="1">IF(D249+Z249&lt;0.000001,0,IF(D249&lt;0.000001,F248,IF(OR(AE249=1,AND(K248&gt;0,入力設定!$B$8="返済額軽減型",入力設定!$B$11="翌月")),IF(C249=0,D249/MAX(1,E249),D249*(C249/12)/(1-(1+C249/12)^(-MAX(1,E249)))),F248)))</f>
        <v>142266.59803560167</v>
      </c>
      <c r="G249" s="70">
        <f t="shared" ca="1" si="66"/>
        <v>142266.59803560167</v>
      </c>
      <c r="H249" s="70">
        <f t="shared" ca="1" si="67"/>
        <v>61782.843424873347</v>
      </c>
      <c r="I249" s="70">
        <f t="shared" ca="1" si="68"/>
        <v>80483.754610728327</v>
      </c>
      <c r="J249" s="70">
        <f>SUMIFS(入力設定!$G$5:$G$24,入力設定!$F$5:$F$24,A249)</f>
        <v>0</v>
      </c>
      <c r="K249" s="70">
        <f t="shared" ca="1" si="69"/>
        <v>0</v>
      </c>
      <c r="L249" s="70">
        <f ca="1">IF(K249&gt;0,入力設定!$B$9,0)</f>
        <v>0</v>
      </c>
      <c r="M249" s="70">
        <f t="shared" ca="1" si="70"/>
        <v>14747398.667358875</v>
      </c>
      <c r="N249" s="70">
        <f ca="1">IF(M249+AA249&lt;0.000001,0,IF(AND(K249&gt;0,入力設定!$B$8="期間短縮型",AA249&lt;0.000001,F249&gt;M249*C249/12),MAX(1,MIN(E249-1,IF(C249=0,ROUNDUP(M249/F249,0),ROUNDUP(-LN(1-M249*(C249/12)/F249)/LN(1+C249/12),0)))),MAX(1,E249-1)))</f>
        <v>136</v>
      </c>
      <c r="O249" s="70">
        <f t="shared" ca="1" si="71"/>
        <v>142266.59803560167</v>
      </c>
      <c r="P249" s="70">
        <f t="shared" ca="1" si="85"/>
        <v>18783688.56570993</v>
      </c>
      <c r="Q249" s="70">
        <f ca="1">IF(OR(A249&gt;入力設定!$B$6*12,P249+AC249&lt;0.000001),0,IF(P249&lt;0.000001,Q248,IF(AE249=1,IF(C249=0,P249/MAX(1,入力設定!$B$6*12-A249+1),P249*(C249/12)/(1-(1+C249/12)^(-MAX(1,入力設定!$B$6*12-A249+1)))),Q248)))</f>
        <v>150233.43899513036</v>
      </c>
      <c r="R249" s="70">
        <f ca="1">IF(P249+AC249&lt;0.000001,0,IF(A249=入力設定!$B$6*12,P249+AB249+AC249,MIN(Q249,P249+AB249+AC249)))</f>
        <v>150233.43899513036</v>
      </c>
      <c r="S249" s="70">
        <f t="shared" ca="1" si="72"/>
        <v>78265.369023791383</v>
      </c>
      <c r="T249" s="70">
        <f t="shared" ca="1" si="73"/>
        <v>71968.069971338977</v>
      </c>
      <c r="U249" s="70">
        <f t="shared" ca="1" si="74"/>
        <v>18711720.495738592</v>
      </c>
      <c r="V249" s="70">
        <f t="shared" ca="1" si="75"/>
        <v>0</v>
      </c>
      <c r="W249" s="70">
        <f t="shared" ca="1" si="76"/>
        <v>0</v>
      </c>
      <c r="X249" s="70">
        <f t="shared" ca="1" si="77"/>
        <v>0</v>
      </c>
      <c r="Y249" s="71">
        <f t="shared" ca="1" si="78"/>
        <v>61782.843424873347</v>
      </c>
      <c r="Z249" s="71">
        <f t="shared" ca="1" si="86"/>
        <v>0</v>
      </c>
      <c r="AA249" s="71">
        <f t="shared" ca="1" si="79"/>
        <v>0</v>
      </c>
      <c r="AB249" s="71">
        <f t="shared" ca="1" si="80"/>
        <v>78265.369023791383</v>
      </c>
      <c r="AC249" s="71">
        <f t="shared" ca="1" si="87"/>
        <v>0</v>
      </c>
      <c r="AD249" s="71">
        <f t="shared" ca="1" si="81"/>
        <v>0</v>
      </c>
      <c r="AE249" s="72">
        <f t="shared" si="82"/>
        <v>0</v>
      </c>
      <c r="AF249" s="73">
        <f>IF(A249&gt;入力設定!$B$6*12,0,IF(AND(ISNUMBER(C249),C249&gt;=0,C249&lt;=1),0,1))</f>
        <v>0</v>
      </c>
    </row>
    <row r="250" spans="1:32" ht="21" customHeight="1">
      <c r="A250" s="68">
        <f>245</f>
        <v>245</v>
      </c>
      <c r="B250" s="69">
        <f>EDATE(入力設定!$B$7,A250-1)</f>
        <v>53752</v>
      </c>
      <c r="C250" s="80">
        <f>INDEX(入力設定!$C$15:$C$24,INT((A250-1)/60)+1)</f>
        <v>0.05</v>
      </c>
      <c r="D250" s="70">
        <f t="shared" ca="1" si="83"/>
        <v>14747398.667358875</v>
      </c>
      <c r="E250" s="70">
        <f t="shared" ca="1" si="84"/>
        <v>136</v>
      </c>
      <c r="F250" s="70">
        <f ca="1">IF(D250+Z250&lt;0.000001,0,IF(D250&lt;0.000001,F249,IF(OR(AE250=1,AND(K249&gt;0,入力設定!$B$8="返済額軽減型",入力設定!$B$11="翌月")),IF(C250=0,D250/MAX(1,E250),D250*(C250/12)/(1-(1+C250/12)^(-MAX(1,E250)))),F249)))</f>
        <v>142266.59803560167</v>
      </c>
      <c r="G250" s="70">
        <f t="shared" ca="1" si="66"/>
        <v>142266.59803560167</v>
      </c>
      <c r="H250" s="70">
        <f t="shared" ca="1" si="67"/>
        <v>61447.494447328652</v>
      </c>
      <c r="I250" s="70">
        <f t="shared" ca="1" si="68"/>
        <v>80819.103588273021</v>
      </c>
      <c r="J250" s="70">
        <f>SUMIFS(入力設定!$G$5:$G$24,入力設定!$F$5:$F$24,A250)</f>
        <v>0</v>
      </c>
      <c r="K250" s="70">
        <f t="shared" ca="1" si="69"/>
        <v>0</v>
      </c>
      <c r="L250" s="70">
        <f ca="1">IF(K250&gt;0,入力設定!$B$9,0)</f>
        <v>0</v>
      </c>
      <c r="M250" s="70">
        <f t="shared" ca="1" si="70"/>
        <v>14666579.563770602</v>
      </c>
      <c r="N250" s="70">
        <f ca="1">IF(M250+AA250&lt;0.000001,0,IF(AND(K250&gt;0,入力設定!$B$8="期間短縮型",AA250&lt;0.000001,F250&gt;M250*C250/12),MAX(1,MIN(E250-1,IF(C250=0,ROUNDUP(M250/F250,0),ROUNDUP(-LN(1-M250*(C250/12)/F250)/LN(1+C250/12),0)))),MAX(1,E250-1)))</f>
        <v>135</v>
      </c>
      <c r="O250" s="70">
        <f t="shared" ca="1" si="71"/>
        <v>142266.59803560167</v>
      </c>
      <c r="P250" s="70">
        <f t="shared" ca="1" si="85"/>
        <v>18711720.495738592</v>
      </c>
      <c r="Q250" s="70">
        <f ca="1">IF(OR(A250&gt;入力設定!$B$6*12,P250+AC250&lt;0.000001),0,IF(P250&lt;0.000001,Q249,IF(AE250=1,IF(C250=0,P250/MAX(1,入力設定!$B$6*12-A250+1),P250*(C250/12)/(1-(1+C250/12)^(-MAX(1,入力設定!$B$6*12-A250+1)))),Q249)))</f>
        <v>150233.43899513036</v>
      </c>
      <c r="R250" s="70">
        <f ca="1">IF(P250+AC250&lt;0.000001,0,IF(A250=入力設定!$B$6*12,P250+AB250+AC250,MIN(Q250,P250+AB250+AC250)))</f>
        <v>150233.43899513036</v>
      </c>
      <c r="S250" s="70">
        <f t="shared" ca="1" si="72"/>
        <v>77965.502065577472</v>
      </c>
      <c r="T250" s="70">
        <f t="shared" ca="1" si="73"/>
        <v>72267.936929552889</v>
      </c>
      <c r="U250" s="70">
        <f t="shared" ca="1" si="74"/>
        <v>18639452.558809038</v>
      </c>
      <c r="V250" s="70">
        <f t="shared" ca="1" si="75"/>
        <v>0</v>
      </c>
      <c r="W250" s="70">
        <f t="shared" ca="1" si="76"/>
        <v>0</v>
      </c>
      <c r="X250" s="70">
        <f t="shared" ca="1" si="77"/>
        <v>0</v>
      </c>
      <c r="Y250" s="71">
        <f t="shared" ca="1" si="78"/>
        <v>61447.494447328652</v>
      </c>
      <c r="Z250" s="71">
        <f t="shared" ca="1" si="86"/>
        <v>0</v>
      </c>
      <c r="AA250" s="71">
        <f t="shared" ca="1" si="79"/>
        <v>0</v>
      </c>
      <c r="AB250" s="71">
        <f t="shared" ca="1" si="80"/>
        <v>77965.502065577472</v>
      </c>
      <c r="AC250" s="71">
        <f t="shared" ca="1" si="87"/>
        <v>0</v>
      </c>
      <c r="AD250" s="71">
        <f t="shared" ca="1" si="81"/>
        <v>0</v>
      </c>
      <c r="AE250" s="72">
        <f t="shared" si="82"/>
        <v>0</v>
      </c>
      <c r="AF250" s="73">
        <f>IF(A250&gt;入力設定!$B$6*12,0,IF(AND(ISNUMBER(C250),C250&gt;=0,C250&lt;=1),0,1))</f>
        <v>0</v>
      </c>
    </row>
    <row r="251" spans="1:32" ht="21" customHeight="1">
      <c r="A251" s="68">
        <f>246</f>
        <v>246</v>
      </c>
      <c r="B251" s="69">
        <f>EDATE(入力設定!$B$7,A251-1)</f>
        <v>53783</v>
      </c>
      <c r="C251" s="80">
        <f>INDEX(入力設定!$C$15:$C$24,INT((A251-1)/60)+1)</f>
        <v>0.05</v>
      </c>
      <c r="D251" s="70">
        <f t="shared" ca="1" si="83"/>
        <v>14666579.563770602</v>
      </c>
      <c r="E251" s="70">
        <f t="shared" ca="1" si="84"/>
        <v>135</v>
      </c>
      <c r="F251" s="70">
        <f ca="1">IF(D251+Z251&lt;0.000001,0,IF(D251&lt;0.000001,F250,IF(OR(AE251=1,AND(K250&gt;0,入力設定!$B$8="返済額軽減型",入力設定!$B$11="翌月")),IF(C251=0,D251/MAX(1,E251),D251*(C251/12)/(1-(1+C251/12)^(-MAX(1,E251)))),F250)))</f>
        <v>142266.59803560167</v>
      </c>
      <c r="G251" s="70">
        <f t="shared" ca="1" si="66"/>
        <v>142266.59803560167</v>
      </c>
      <c r="H251" s="70">
        <f t="shared" ca="1" si="67"/>
        <v>61110.748182377509</v>
      </c>
      <c r="I251" s="70">
        <f t="shared" ca="1" si="68"/>
        <v>81155.84985322415</v>
      </c>
      <c r="J251" s="70">
        <f>SUMIFS(入力設定!$G$5:$G$24,入力設定!$F$5:$F$24,A251)</f>
        <v>0</v>
      </c>
      <c r="K251" s="70">
        <f t="shared" ca="1" si="69"/>
        <v>0</v>
      </c>
      <c r="L251" s="70">
        <f ca="1">IF(K251&gt;0,入力設定!$B$9,0)</f>
        <v>0</v>
      </c>
      <c r="M251" s="70">
        <f t="shared" ca="1" si="70"/>
        <v>14585423.713917376</v>
      </c>
      <c r="N251" s="70">
        <f ca="1">IF(M251+AA251&lt;0.000001,0,IF(AND(K251&gt;0,入力設定!$B$8="期間短縮型",AA251&lt;0.000001,F251&gt;M251*C251/12),MAX(1,MIN(E251-1,IF(C251=0,ROUNDUP(M251/F251,0),ROUNDUP(-LN(1-M251*(C251/12)/F251)/LN(1+C251/12),0)))),MAX(1,E251-1)))</f>
        <v>134</v>
      </c>
      <c r="O251" s="70">
        <f t="shared" ca="1" si="71"/>
        <v>142266.59803560167</v>
      </c>
      <c r="P251" s="70">
        <f t="shared" ca="1" si="85"/>
        <v>18639452.558809038</v>
      </c>
      <c r="Q251" s="70">
        <f ca="1">IF(OR(A251&gt;入力設定!$B$6*12,P251+AC251&lt;0.000001),0,IF(P251&lt;0.000001,Q250,IF(AE251=1,IF(C251=0,P251/MAX(1,入力設定!$B$6*12-A251+1),P251*(C251/12)/(1-(1+C251/12)^(-MAX(1,入力設定!$B$6*12-A251+1)))),Q250)))</f>
        <v>150233.43899513036</v>
      </c>
      <c r="R251" s="70">
        <f ca="1">IF(P251+AC251&lt;0.000001,0,IF(A251=入力設定!$B$6*12,P251+AB251+AC251,MIN(Q251,P251+AB251+AC251)))</f>
        <v>150233.43899513036</v>
      </c>
      <c r="S251" s="70">
        <f t="shared" ca="1" si="72"/>
        <v>77664.385661704335</v>
      </c>
      <c r="T251" s="70">
        <f t="shared" ca="1" si="73"/>
        <v>72569.053333426025</v>
      </c>
      <c r="U251" s="70">
        <f t="shared" ca="1" si="74"/>
        <v>18566883.50547561</v>
      </c>
      <c r="V251" s="70">
        <f t="shared" ca="1" si="75"/>
        <v>0</v>
      </c>
      <c r="W251" s="70">
        <f t="shared" ca="1" si="76"/>
        <v>0</v>
      </c>
      <c r="X251" s="70">
        <f t="shared" ca="1" si="77"/>
        <v>0</v>
      </c>
      <c r="Y251" s="71">
        <f t="shared" ca="1" si="78"/>
        <v>61110.748182377509</v>
      </c>
      <c r="Z251" s="71">
        <f t="shared" ca="1" si="86"/>
        <v>0</v>
      </c>
      <c r="AA251" s="71">
        <f t="shared" ca="1" si="79"/>
        <v>0</v>
      </c>
      <c r="AB251" s="71">
        <f t="shared" ca="1" si="80"/>
        <v>77664.385661704335</v>
      </c>
      <c r="AC251" s="71">
        <f t="shared" ca="1" si="87"/>
        <v>0</v>
      </c>
      <c r="AD251" s="71">
        <f t="shared" ca="1" si="81"/>
        <v>0</v>
      </c>
      <c r="AE251" s="72">
        <f t="shared" si="82"/>
        <v>0</v>
      </c>
      <c r="AF251" s="73">
        <f>IF(A251&gt;入力設定!$B$6*12,0,IF(AND(ISNUMBER(C251),C251&gt;=0,C251&lt;=1),0,1))</f>
        <v>0</v>
      </c>
    </row>
    <row r="252" spans="1:32" ht="21" customHeight="1">
      <c r="A252" s="68">
        <f>247</f>
        <v>247</v>
      </c>
      <c r="B252" s="69">
        <f>EDATE(入力設定!$B$7,A252-1)</f>
        <v>53813</v>
      </c>
      <c r="C252" s="80">
        <f>INDEX(入力設定!$C$15:$C$24,INT((A252-1)/60)+1)</f>
        <v>0.05</v>
      </c>
      <c r="D252" s="70">
        <f t="shared" ca="1" si="83"/>
        <v>14585423.713917376</v>
      </c>
      <c r="E252" s="70">
        <f t="shared" ca="1" si="84"/>
        <v>134</v>
      </c>
      <c r="F252" s="70">
        <f ca="1">IF(D252+Z252&lt;0.000001,0,IF(D252&lt;0.000001,F251,IF(OR(AE252=1,AND(K251&gt;0,入力設定!$B$8="返済額軽減型",入力設定!$B$11="翌月")),IF(C252=0,D252/MAX(1,E252),D252*(C252/12)/(1-(1+C252/12)^(-MAX(1,E252)))),F251)))</f>
        <v>142266.59803560167</v>
      </c>
      <c r="G252" s="70">
        <f t="shared" ca="1" si="66"/>
        <v>142266.59803560167</v>
      </c>
      <c r="H252" s="70">
        <f t="shared" ca="1" si="67"/>
        <v>60772.598807989074</v>
      </c>
      <c r="I252" s="70">
        <f t="shared" ca="1" si="68"/>
        <v>81493.999227612599</v>
      </c>
      <c r="J252" s="70">
        <f>SUMIFS(入力設定!$G$5:$G$24,入力設定!$F$5:$F$24,A252)</f>
        <v>0</v>
      </c>
      <c r="K252" s="70">
        <f t="shared" ca="1" si="69"/>
        <v>0</v>
      </c>
      <c r="L252" s="70">
        <f ca="1">IF(K252&gt;0,入力設定!$B$9,0)</f>
        <v>0</v>
      </c>
      <c r="M252" s="70">
        <f t="shared" ca="1" si="70"/>
        <v>14503929.714689763</v>
      </c>
      <c r="N252" s="70">
        <f ca="1">IF(M252+AA252&lt;0.000001,0,IF(AND(K252&gt;0,入力設定!$B$8="期間短縮型",AA252&lt;0.000001,F252&gt;M252*C252/12),MAX(1,MIN(E252-1,IF(C252=0,ROUNDUP(M252/F252,0),ROUNDUP(-LN(1-M252*(C252/12)/F252)/LN(1+C252/12),0)))),MAX(1,E252-1)))</f>
        <v>133</v>
      </c>
      <c r="O252" s="70">
        <f t="shared" ca="1" si="71"/>
        <v>142266.59803560167</v>
      </c>
      <c r="P252" s="70">
        <f t="shared" ca="1" si="85"/>
        <v>18566883.50547561</v>
      </c>
      <c r="Q252" s="70">
        <f ca="1">IF(OR(A252&gt;入力設定!$B$6*12,P252+AC252&lt;0.000001),0,IF(P252&lt;0.000001,Q251,IF(AE252=1,IF(C252=0,P252/MAX(1,入力設定!$B$6*12-A252+1),P252*(C252/12)/(1-(1+C252/12)^(-MAX(1,入力設定!$B$6*12-A252+1)))),Q251)))</f>
        <v>150233.43899513036</v>
      </c>
      <c r="R252" s="70">
        <f ca="1">IF(P252+AC252&lt;0.000001,0,IF(A252=入力設定!$B$6*12,P252+AB252+AC252,MIN(Q252,P252+AB252+AC252)))</f>
        <v>150233.43899513036</v>
      </c>
      <c r="S252" s="70">
        <f t="shared" ca="1" si="72"/>
        <v>77362.014606148383</v>
      </c>
      <c r="T252" s="70">
        <f t="shared" ca="1" si="73"/>
        <v>72871.424388981977</v>
      </c>
      <c r="U252" s="70">
        <f t="shared" ca="1" si="74"/>
        <v>18494012.081086628</v>
      </c>
      <c r="V252" s="70">
        <f t="shared" ca="1" si="75"/>
        <v>0</v>
      </c>
      <c r="W252" s="70">
        <f t="shared" ca="1" si="76"/>
        <v>0</v>
      </c>
      <c r="X252" s="70">
        <f t="shared" ca="1" si="77"/>
        <v>0</v>
      </c>
      <c r="Y252" s="71">
        <f t="shared" ca="1" si="78"/>
        <v>60772.598807989074</v>
      </c>
      <c r="Z252" s="71">
        <f t="shared" ca="1" si="86"/>
        <v>0</v>
      </c>
      <c r="AA252" s="71">
        <f t="shared" ca="1" si="79"/>
        <v>0</v>
      </c>
      <c r="AB252" s="71">
        <f t="shared" ca="1" si="80"/>
        <v>77362.014606148383</v>
      </c>
      <c r="AC252" s="71">
        <f t="shared" ca="1" si="87"/>
        <v>0</v>
      </c>
      <c r="AD252" s="71">
        <f t="shared" ca="1" si="81"/>
        <v>0</v>
      </c>
      <c r="AE252" s="72">
        <f t="shared" si="82"/>
        <v>0</v>
      </c>
      <c r="AF252" s="73">
        <f>IF(A252&gt;入力設定!$B$6*12,0,IF(AND(ISNUMBER(C252),C252&gt;=0,C252&lt;=1),0,1))</f>
        <v>0</v>
      </c>
    </row>
    <row r="253" spans="1:32" ht="21" customHeight="1">
      <c r="A253" s="68">
        <f>248</f>
        <v>248</v>
      </c>
      <c r="B253" s="69">
        <f>EDATE(入力設定!$B$7,A253-1)</f>
        <v>53844</v>
      </c>
      <c r="C253" s="80">
        <f>INDEX(入力設定!$C$15:$C$24,INT((A253-1)/60)+1)</f>
        <v>0.05</v>
      </c>
      <c r="D253" s="70">
        <f t="shared" ca="1" si="83"/>
        <v>14503929.714689763</v>
      </c>
      <c r="E253" s="70">
        <f t="shared" ca="1" si="84"/>
        <v>133</v>
      </c>
      <c r="F253" s="70">
        <f ca="1">IF(D253+Z253&lt;0.000001,0,IF(D253&lt;0.000001,F252,IF(OR(AE253=1,AND(K252&gt;0,入力設定!$B$8="返済額軽減型",入力設定!$B$11="翌月")),IF(C253=0,D253/MAX(1,E253),D253*(C253/12)/(1-(1+C253/12)^(-MAX(1,E253)))),F252)))</f>
        <v>142266.59803560167</v>
      </c>
      <c r="G253" s="70">
        <f t="shared" ca="1" si="66"/>
        <v>142266.59803560167</v>
      </c>
      <c r="H253" s="70">
        <f t="shared" ca="1" si="67"/>
        <v>60433.040477874019</v>
      </c>
      <c r="I253" s="70">
        <f t="shared" ca="1" si="68"/>
        <v>81833.557557727647</v>
      </c>
      <c r="J253" s="70">
        <f>SUMIFS(入力設定!$G$5:$G$24,入力設定!$F$5:$F$24,A253)</f>
        <v>0</v>
      </c>
      <c r="K253" s="70">
        <f t="shared" ca="1" si="69"/>
        <v>0</v>
      </c>
      <c r="L253" s="70">
        <f ca="1">IF(K253&gt;0,入力設定!$B$9,0)</f>
        <v>0</v>
      </c>
      <c r="M253" s="70">
        <f t="shared" ca="1" si="70"/>
        <v>14422096.157132035</v>
      </c>
      <c r="N253" s="70">
        <f ca="1">IF(M253+AA253&lt;0.000001,0,IF(AND(K253&gt;0,入力設定!$B$8="期間短縮型",AA253&lt;0.000001,F253&gt;M253*C253/12),MAX(1,MIN(E253-1,IF(C253=0,ROUNDUP(M253/F253,0),ROUNDUP(-LN(1-M253*(C253/12)/F253)/LN(1+C253/12),0)))),MAX(1,E253-1)))</f>
        <v>132</v>
      </c>
      <c r="O253" s="70">
        <f t="shared" ca="1" si="71"/>
        <v>142266.59803560167</v>
      </c>
      <c r="P253" s="70">
        <f t="shared" ca="1" si="85"/>
        <v>18494012.081086628</v>
      </c>
      <c r="Q253" s="70">
        <f ca="1">IF(OR(A253&gt;入力設定!$B$6*12,P253+AC253&lt;0.000001),0,IF(P253&lt;0.000001,Q252,IF(AE253=1,IF(C253=0,P253/MAX(1,入力設定!$B$6*12-A253+1),P253*(C253/12)/(1-(1+C253/12)^(-MAX(1,入力設定!$B$6*12-A253+1)))),Q252)))</f>
        <v>150233.43899513036</v>
      </c>
      <c r="R253" s="70">
        <f ca="1">IF(P253+AC253&lt;0.000001,0,IF(A253=入力設定!$B$6*12,P253+AB253+AC253,MIN(Q253,P253+AB253+AC253)))</f>
        <v>150233.43899513036</v>
      </c>
      <c r="S253" s="70">
        <f t="shared" ca="1" si="72"/>
        <v>77058.383671194286</v>
      </c>
      <c r="T253" s="70">
        <f t="shared" ca="1" si="73"/>
        <v>73175.055323936074</v>
      </c>
      <c r="U253" s="70">
        <f t="shared" ca="1" si="74"/>
        <v>18420837.025762692</v>
      </c>
      <c r="V253" s="70">
        <f t="shared" ca="1" si="75"/>
        <v>0</v>
      </c>
      <c r="W253" s="70">
        <f t="shared" ca="1" si="76"/>
        <v>0</v>
      </c>
      <c r="X253" s="70">
        <f t="shared" ca="1" si="77"/>
        <v>0</v>
      </c>
      <c r="Y253" s="71">
        <f t="shared" ca="1" si="78"/>
        <v>60433.040477874019</v>
      </c>
      <c r="Z253" s="71">
        <f t="shared" ca="1" si="86"/>
        <v>0</v>
      </c>
      <c r="AA253" s="71">
        <f t="shared" ca="1" si="79"/>
        <v>0</v>
      </c>
      <c r="AB253" s="71">
        <f t="shared" ca="1" si="80"/>
        <v>77058.383671194286</v>
      </c>
      <c r="AC253" s="71">
        <f t="shared" ca="1" si="87"/>
        <v>0</v>
      </c>
      <c r="AD253" s="71">
        <f t="shared" ca="1" si="81"/>
        <v>0</v>
      </c>
      <c r="AE253" s="72">
        <f t="shared" si="82"/>
        <v>0</v>
      </c>
      <c r="AF253" s="73">
        <f>IF(A253&gt;入力設定!$B$6*12,0,IF(AND(ISNUMBER(C253),C253&gt;=0,C253&lt;=1),0,1))</f>
        <v>0</v>
      </c>
    </row>
    <row r="254" spans="1:32" ht="21" customHeight="1">
      <c r="A254" s="68">
        <f>249</f>
        <v>249</v>
      </c>
      <c r="B254" s="69">
        <f>EDATE(入力設定!$B$7,A254-1)</f>
        <v>53874</v>
      </c>
      <c r="C254" s="80">
        <f>INDEX(入力設定!$C$15:$C$24,INT((A254-1)/60)+1)</f>
        <v>0.05</v>
      </c>
      <c r="D254" s="70">
        <f t="shared" ca="1" si="83"/>
        <v>14422096.157132035</v>
      </c>
      <c r="E254" s="70">
        <f t="shared" ca="1" si="84"/>
        <v>132</v>
      </c>
      <c r="F254" s="70">
        <f ca="1">IF(D254+Z254&lt;0.000001,0,IF(D254&lt;0.000001,F253,IF(OR(AE254=1,AND(K253&gt;0,入力設定!$B$8="返済額軽減型",入力設定!$B$11="翌月")),IF(C254=0,D254/MAX(1,E254),D254*(C254/12)/(1-(1+C254/12)^(-MAX(1,E254)))),F253)))</f>
        <v>142266.59803560167</v>
      </c>
      <c r="G254" s="70">
        <f t="shared" ca="1" si="66"/>
        <v>142266.59803560167</v>
      </c>
      <c r="H254" s="70">
        <f t="shared" ca="1" si="67"/>
        <v>60092.067321383482</v>
      </c>
      <c r="I254" s="70">
        <f t="shared" ca="1" si="68"/>
        <v>82174.530714218185</v>
      </c>
      <c r="J254" s="70">
        <f>SUMIFS(入力設定!$G$5:$G$24,入力設定!$F$5:$F$24,A254)</f>
        <v>0</v>
      </c>
      <c r="K254" s="70">
        <f t="shared" ca="1" si="69"/>
        <v>0</v>
      </c>
      <c r="L254" s="70">
        <f ca="1">IF(K254&gt;0,入力設定!$B$9,0)</f>
        <v>0</v>
      </c>
      <c r="M254" s="70">
        <f t="shared" ca="1" si="70"/>
        <v>14339921.626417818</v>
      </c>
      <c r="N254" s="70">
        <f ca="1">IF(M254+AA254&lt;0.000001,0,IF(AND(K254&gt;0,入力設定!$B$8="期間短縮型",AA254&lt;0.000001,F254&gt;M254*C254/12),MAX(1,MIN(E254-1,IF(C254=0,ROUNDUP(M254/F254,0),ROUNDUP(-LN(1-M254*(C254/12)/F254)/LN(1+C254/12),0)))),MAX(1,E254-1)))</f>
        <v>131</v>
      </c>
      <c r="O254" s="70">
        <f t="shared" ca="1" si="71"/>
        <v>142266.59803560167</v>
      </c>
      <c r="P254" s="70">
        <f t="shared" ca="1" si="85"/>
        <v>18420837.025762692</v>
      </c>
      <c r="Q254" s="70">
        <f ca="1">IF(OR(A254&gt;入力設定!$B$6*12,P254+AC254&lt;0.000001),0,IF(P254&lt;0.000001,Q253,IF(AE254=1,IF(C254=0,P254/MAX(1,入力設定!$B$6*12-A254+1),P254*(C254/12)/(1-(1+C254/12)^(-MAX(1,入力設定!$B$6*12-A254+1)))),Q253)))</f>
        <v>150233.43899513036</v>
      </c>
      <c r="R254" s="70">
        <f ca="1">IF(P254+AC254&lt;0.000001,0,IF(A254=入力設定!$B$6*12,P254+AB254+AC254,MIN(Q254,P254+AB254+AC254)))</f>
        <v>150233.43899513036</v>
      </c>
      <c r="S254" s="70">
        <f t="shared" ca="1" si="72"/>
        <v>76753.487607344563</v>
      </c>
      <c r="T254" s="70">
        <f t="shared" ca="1" si="73"/>
        <v>73479.951387785797</v>
      </c>
      <c r="U254" s="70">
        <f t="shared" ca="1" si="74"/>
        <v>18347357.074374907</v>
      </c>
      <c r="V254" s="70">
        <f t="shared" ca="1" si="75"/>
        <v>0</v>
      </c>
      <c r="W254" s="70">
        <f t="shared" ca="1" si="76"/>
        <v>0</v>
      </c>
      <c r="X254" s="70">
        <f t="shared" ca="1" si="77"/>
        <v>0</v>
      </c>
      <c r="Y254" s="71">
        <f t="shared" ca="1" si="78"/>
        <v>60092.067321383482</v>
      </c>
      <c r="Z254" s="71">
        <f t="shared" ca="1" si="86"/>
        <v>0</v>
      </c>
      <c r="AA254" s="71">
        <f t="shared" ca="1" si="79"/>
        <v>0</v>
      </c>
      <c r="AB254" s="71">
        <f t="shared" ca="1" si="80"/>
        <v>76753.487607344563</v>
      </c>
      <c r="AC254" s="71">
        <f t="shared" ca="1" si="87"/>
        <v>0</v>
      </c>
      <c r="AD254" s="71">
        <f t="shared" ca="1" si="81"/>
        <v>0</v>
      </c>
      <c r="AE254" s="72">
        <f t="shared" si="82"/>
        <v>0</v>
      </c>
      <c r="AF254" s="73">
        <f>IF(A254&gt;入力設定!$B$6*12,0,IF(AND(ISNUMBER(C254),C254&gt;=0,C254&lt;=1),0,1))</f>
        <v>0</v>
      </c>
    </row>
    <row r="255" spans="1:32" ht="21" customHeight="1">
      <c r="A255" s="68">
        <f>250</f>
        <v>250</v>
      </c>
      <c r="B255" s="69">
        <f>EDATE(入力設定!$B$7,A255-1)</f>
        <v>53905</v>
      </c>
      <c r="C255" s="80">
        <f>INDEX(入力設定!$C$15:$C$24,INT((A255-1)/60)+1)</f>
        <v>0.05</v>
      </c>
      <c r="D255" s="70">
        <f t="shared" ca="1" si="83"/>
        <v>14339921.626417818</v>
      </c>
      <c r="E255" s="70">
        <f t="shared" ca="1" si="84"/>
        <v>131</v>
      </c>
      <c r="F255" s="70">
        <f ca="1">IF(D255+Z255&lt;0.000001,0,IF(D255&lt;0.000001,F254,IF(OR(AE255=1,AND(K254&gt;0,入力設定!$B$8="返済額軽減型",入力設定!$B$11="翌月")),IF(C255=0,D255/MAX(1,E255),D255*(C255/12)/(1-(1+C255/12)^(-MAX(1,E255)))),F254)))</f>
        <v>142266.59803560167</v>
      </c>
      <c r="G255" s="70">
        <f t="shared" ca="1" si="66"/>
        <v>142266.59803560167</v>
      </c>
      <c r="H255" s="70">
        <f t="shared" ca="1" si="67"/>
        <v>59749.673443407577</v>
      </c>
      <c r="I255" s="70">
        <f t="shared" ca="1" si="68"/>
        <v>82516.924592194089</v>
      </c>
      <c r="J255" s="70">
        <f>SUMIFS(入力設定!$G$5:$G$24,入力設定!$F$5:$F$24,A255)</f>
        <v>0</v>
      </c>
      <c r="K255" s="70">
        <f t="shared" ca="1" si="69"/>
        <v>0</v>
      </c>
      <c r="L255" s="70">
        <f ca="1">IF(K255&gt;0,入力設定!$B$9,0)</f>
        <v>0</v>
      </c>
      <c r="M255" s="70">
        <f t="shared" ca="1" si="70"/>
        <v>14257404.701825624</v>
      </c>
      <c r="N255" s="70">
        <f ca="1">IF(M255+AA255&lt;0.000001,0,IF(AND(K255&gt;0,入力設定!$B$8="期間短縮型",AA255&lt;0.000001,F255&gt;M255*C255/12),MAX(1,MIN(E255-1,IF(C255=0,ROUNDUP(M255/F255,0),ROUNDUP(-LN(1-M255*(C255/12)/F255)/LN(1+C255/12),0)))),MAX(1,E255-1)))</f>
        <v>130</v>
      </c>
      <c r="O255" s="70">
        <f t="shared" ca="1" si="71"/>
        <v>142266.59803560167</v>
      </c>
      <c r="P255" s="70">
        <f t="shared" ca="1" si="85"/>
        <v>18347357.074374907</v>
      </c>
      <c r="Q255" s="70">
        <f ca="1">IF(OR(A255&gt;入力設定!$B$6*12,P255+AC255&lt;0.000001),0,IF(P255&lt;0.000001,Q254,IF(AE255=1,IF(C255=0,P255/MAX(1,入力設定!$B$6*12-A255+1),P255*(C255/12)/(1-(1+C255/12)^(-MAX(1,入力設定!$B$6*12-A255+1)))),Q254)))</f>
        <v>150233.43899513036</v>
      </c>
      <c r="R255" s="70">
        <f ca="1">IF(P255+AC255&lt;0.000001,0,IF(A255=入力設定!$B$6*12,P255+AB255+AC255,MIN(Q255,P255+AB255+AC255)))</f>
        <v>150233.43899513036</v>
      </c>
      <c r="S255" s="70">
        <f t="shared" ca="1" si="72"/>
        <v>76447.321143228779</v>
      </c>
      <c r="T255" s="70">
        <f t="shared" ca="1" si="73"/>
        <v>73786.117851901581</v>
      </c>
      <c r="U255" s="70">
        <f t="shared" ca="1" si="74"/>
        <v>18273570.956523005</v>
      </c>
      <c r="V255" s="70">
        <f t="shared" ca="1" si="75"/>
        <v>0</v>
      </c>
      <c r="W255" s="70">
        <f t="shared" ca="1" si="76"/>
        <v>0</v>
      </c>
      <c r="X255" s="70">
        <f t="shared" ca="1" si="77"/>
        <v>0</v>
      </c>
      <c r="Y255" s="71">
        <f t="shared" ca="1" si="78"/>
        <v>59749.673443407577</v>
      </c>
      <c r="Z255" s="71">
        <f t="shared" ca="1" si="86"/>
        <v>0</v>
      </c>
      <c r="AA255" s="71">
        <f t="shared" ca="1" si="79"/>
        <v>0</v>
      </c>
      <c r="AB255" s="71">
        <f t="shared" ca="1" si="80"/>
        <v>76447.321143228779</v>
      </c>
      <c r="AC255" s="71">
        <f t="shared" ca="1" si="87"/>
        <v>0</v>
      </c>
      <c r="AD255" s="71">
        <f t="shared" ca="1" si="81"/>
        <v>0</v>
      </c>
      <c r="AE255" s="72">
        <f t="shared" si="82"/>
        <v>0</v>
      </c>
      <c r="AF255" s="73">
        <f>IF(A255&gt;入力設定!$B$6*12,0,IF(AND(ISNUMBER(C255),C255&gt;=0,C255&lt;=1),0,1))</f>
        <v>0</v>
      </c>
    </row>
    <row r="256" spans="1:32" ht="21" customHeight="1">
      <c r="A256" s="68">
        <f>251</f>
        <v>251</v>
      </c>
      <c r="B256" s="69">
        <f>EDATE(入力設定!$B$7,A256-1)</f>
        <v>53936</v>
      </c>
      <c r="C256" s="80">
        <f>INDEX(入力設定!$C$15:$C$24,INT((A256-1)/60)+1)</f>
        <v>0.05</v>
      </c>
      <c r="D256" s="70">
        <f t="shared" ca="1" si="83"/>
        <v>14257404.701825624</v>
      </c>
      <c r="E256" s="70">
        <f t="shared" ca="1" si="84"/>
        <v>130</v>
      </c>
      <c r="F256" s="70">
        <f ca="1">IF(D256+Z256&lt;0.000001,0,IF(D256&lt;0.000001,F255,IF(OR(AE256=1,AND(K255&gt;0,入力設定!$B$8="返済額軽減型",入力設定!$B$11="翌月")),IF(C256=0,D256/MAX(1,E256),D256*(C256/12)/(1-(1+C256/12)^(-MAX(1,E256)))),F255)))</f>
        <v>142266.59803560167</v>
      </c>
      <c r="G256" s="70">
        <f t="shared" ca="1" si="66"/>
        <v>142266.59803560167</v>
      </c>
      <c r="H256" s="70">
        <f t="shared" ca="1" si="67"/>
        <v>59405.852924273437</v>
      </c>
      <c r="I256" s="70">
        <f t="shared" ca="1" si="68"/>
        <v>82860.74511132823</v>
      </c>
      <c r="J256" s="70">
        <f>SUMIFS(入力設定!$G$5:$G$24,入力設定!$F$5:$F$24,A256)</f>
        <v>0</v>
      </c>
      <c r="K256" s="70">
        <f t="shared" ca="1" si="69"/>
        <v>0</v>
      </c>
      <c r="L256" s="70">
        <f ca="1">IF(K256&gt;0,入力設定!$B$9,0)</f>
        <v>0</v>
      </c>
      <c r="M256" s="70">
        <f t="shared" ca="1" si="70"/>
        <v>14174543.956714297</v>
      </c>
      <c r="N256" s="70">
        <f ca="1">IF(M256+AA256&lt;0.000001,0,IF(AND(K256&gt;0,入力設定!$B$8="期間短縮型",AA256&lt;0.000001,F256&gt;M256*C256/12),MAX(1,MIN(E256-1,IF(C256=0,ROUNDUP(M256/F256,0),ROUNDUP(-LN(1-M256*(C256/12)/F256)/LN(1+C256/12),0)))),MAX(1,E256-1)))</f>
        <v>129</v>
      </c>
      <c r="O256" s="70">
        <f t="shared" ca="1" si="71"/>
        <v>142266.59803560167</v>
      </c>
      <c r="P256" s="70">
        <f t="shared" ca="1" si="85"/>
        <v>18273570.956523005</v>
      </c>
      <c r="Q256" s="70">
        <f ca="1">IF(OR(A256&gt;入力設定!$B$6*12,P256+AC256&lt;0.000001),0,IF(P256&lt;0.000001,Q255,IF(AE256=1,IF(C256=0,P256/MAX(1,入力設定!$B$6*12-A256+1),P256*(C256/12)/(1-(1+C256/12)^(-MAX(1,入力設定!$B$6*12-A256+1)))),Q255)))</f>
        <v>150233.43899513036</v>
      </c>
      <c r="R256" s="70">
        <f ca="1">IF(P256+AC256&lt;0.000001,0,IF(A256=入力設定!$B$6*12,P256+AB256+AC256,MIN(Q256,P256+AB256+AC256)))</f>
        <v>150233.43899513036</v>
      </c>
      <c r="S256" s="70">
        <f t="shared" ca="1" si="72"/>
        <v>76139.878985512521</v>
      </c>
      <c r="T256" s="70">
        <f t="shared" ca="1" si="73"/>
        <v>74093.560009617839</v>
      </c>
      <c r="U256" s="70">
        <f t="shared" ca="1" si="74"/>
        <v>18199477.396513388</v>
      </c>
      <c r="V256" s="70">
        <f t="shared" ca="1" si="75"/>
        <v>0</v>
      </c>
      <c r="W256" s="70">
        <f t="shared" ca="1" si="76"/>
        <v>0</v>
      </c>
      <c r="X256" s="70">
        <f t="shared" ca="1" si="77"/>
        <v>0</v>
      </c>
      <c r="Y256" s="71">
        <f t="shared" ca="1" si="78"/>
        <v>59405.852924273437</v>
      </c>
      <c r="Z256" s="71">
        <f t="shared" ca="1" si="86"/>
        <v>0</v>
      </c>
      <c r="AA256" s="71">
        <f t="shared" ca="1" si="79"/>
        <v>0</v>
      </c>
      <c r="AB256" s="71">
        <f t="shared" ca="1" si="80"/>
        <v>76139.878985512521</v>
      </c>
      <c r="AC256" s="71">
        <f t="shared" ca="1" si="87"/>
        <v>0</v>
      </c>
      <c r="AD256" s="71">
        <f t="shared" ca="1" si="81"/>
        <v>0</v>
      </c>
      <c r="AE256" s="72">
        <f t="shared" si="82"/>
        <v>0</v>
      </c>
      <c r="AF256" s="73">
        <f>IF(A256&gt;入力設定!$B$6*12,0,IF(AND(ISNUMBER(C256),C256&gt;=0,C256&lt;=1),0,1))</f>
        <v>0</v>
      </c>
    </row>
    <row r="257" spans="1:32" ht="21" customHeight="1">
      <c r="A257" s="68">
        <f>252</f>
        <v>252</v>
      </c>
      <c r="B257" s="69">
        <f>EDATE(入力設定!$B$7,A257-1)</f>
        <v>53966</v>
      </c>
      <c r="C257" s="80">
        <f>INDEX(入力設定!$C$15:$C$24,INT((A257-1)/60)+1)</f>
        <v>0.05</v>
      </c>
      <c r="D257" s="70">
        <f t="shared" ca="1" si="83"/>
        <v>14174543.956714297</v>
      </c>
      <c r="E257" s="70">
        <f t="shared" ca="1" si="84"/>
        <v>129</v>
      </c>
      <c r="F257" s="70">
        <f ca="1">IF(D257+Z257&lt;0.000001,0,IF(D257&lt;0.000001,F256,IF(OR(AE257=1,AND(K256&gt;0,入力設定!$B$8="返済額軽減型",入力設定!$B$11="翌月")),IF(C257=0,D257/MAX(1,E257),D257*(C257/12)/(1-(1+C257/12)^(-MAX(1,E257)))),F256)))</f>
        <v>142266.59803560167</v>
      </c>
      <c r="G257" s="70">
        <f t="shared" ca="1" si="66"/>
        <v>142266.59803560167</v>
      </c>
      <c r="H257" s="70">
        <f t="shared" ca="1" si="67"/>
        <v>59060.599819642906</v>
      </c>
      <c r="I257" s="70">
        <f t="shared" ca="1" si="68"/>
        <v>83205.998215958767</v>
      </c>
      <c r="J257" s="70">
        <f>SUMIFS(入力設定!$G$5:$G$24,入力設定!$F$5:$F$24,A257)</f>
        <v>0</v>
      </c>
      <c r="K257" s="70">
        <f t="shared" ca="1" si="69"/>
        <v>0</v>
      </c>
      <c r="L257" s="70">
        <f ca="1">IF(K257&gt;0,入力設定!$B$9,0)</f>
        <v>0</v>
      </c>
      <c r="M257" s="70">
        <f t="shared" ca="1" si="70"/>
        <v>14091337.958498338</v>
      </c>
      <c r="N257" s="70">
        <f ca="1">IF(M257+AA257&lt;0.000001,0,IF(AND(K257&gt;0,入力設定!$B$8="期間短縮型",AA257&lt;0.000001,F257&gt;M257*C257/12),MAX(1,MIN(E257-1,IF(C257=0,ROUNDUP(M257/F257,0),ROUNDUP(-LN(1-M257*(C257/12)/F257)/LN(1+C257/12),0)))),MAX(1,E257-1)))</f>
        <v>128</v>
      </c>
      <c r="O257" s="70">
        <f t="shared" ca="1" si="71"/>
        <v>142266.59803560167</v>
      </c>
      <c r="P257" s="70">
        <f t="shared" ca="1" si="85"/>
        <v>18199477.396513388</v>
      </c>
      <c r="Q257" s="70">
        <f ca="1">IF(OR(A257&gt;入力設定!$B$6*12,P257+AC257&lt;0.000001),0,IF(P257&lt;0.000001,Q256,IF(AE257=1,IF(C257=0,P257/MAX(1,入力設定!$B$6*12-A257+1),P257*(C257/12)/(1-(1+C257/12)^(-MAX(1,入力設定!$B$6*12-A257+1)))),Q256)))</f>
        <v>150233.43899513036</v>
      </c>
      <c r="R257" s="70">
        <f ca="1">IF(P257+AC257&lt;0.000001,0,IF(A257=入力設定!$B$6*12,P257+AB257+AC257,MIN(Q257,P257+AB257+AC257)))</f>
        <v>150233.43899513036</v>
      </c>
      <c r="S257" s="70">
        <f t="shared" ca="1" si="72"/>
        <v>75831.155818805782</v>
      </c>
      <c r="T257" s="70">
        <f t="shared" ca="1" si="73"/>
        <v>74402.283176324578</v>
      </c>
      <c r="U257" s="70">
        <f t="shared" ca="1" si="74"/>
        <v>18125075.113337062</v>
      </c>
      <c r="V257" s="70">
        <f t="shared" ca="1" si="75"/>
        <v>0</v>
      </c>
      <c r="W257" s="70">
        <f t="shared" ca="1" si="76"/>
        <v>0</v>
      </c>
      <c r="X257" s="70">
        <f t="shared" ca="1" si="77"/>
        <v>0</v>
      </c>
      <c r="Y257" s="71">
        <f t="shared" ca="1" si="78"/>
        <v>59060.599819642906</v>
      </c>
      <c r="Z257" s="71">
        <f t="shared" ca="1" si="86"/>
        <v>0</v>
      </c>
      <c r="AA257" s="71">
        <f t="shared" ca="1" si="79"/>
        <v>0</v>
      </c>
      <c r="AB257" s="71">
        <f t="shared" ca="1" si="80"/>
        <v>75831.155818805782</v>
      </c>
      <c r="AC257" s="71">
        <f t="shared" ca="1" si="87"/>
        <v>0</v>
      </c>
      <c r="AD257" s="71">
        <f t="shared" ca="1" si="81"/>
        <v>0</v>
      </c>
      <c r="AE257" s="72">
        <f t="shared" si="82"/>
        <v>0</v>
      </c>
      <c r="AF257" s="73">
        <f>IF(A257&gt;入力設定!$B$6*12,0,IF(AND(ISNUMBER(C257),C257&gt;=0,C257&lt;=1),0,1))</f>
        <v>0</v>
      </c>
    </row>
    <row r="258" spans="1:32" ht="21" customHeight="1">
      <c r="A258" s="68">
        <f>253</f>
        <v>253</v>
      </c>
      <c r="B258" s="69">
        <f>EDATE(入力設定!$B$7,A258-1)</f>
        <v>53997</v>
      </c>
      <c r="C258" s="80">
        <f>INDEX(入力設定!$C$15:$C$24,INT((A258-1)/60)+1)</f>
        <v>0.05</v>
      </c>
      <c r="D258" s="70">
        <f t="shared" ca="1" si="83"/>
        <v>14091337.958498338</v>
      </c>
      <c r="E258" s="70">
        <f t="shared" ca="1" si="84"/>
        <v>128</v>
      </c>
      <c r="F258" s="70">
        <f ca="1">IF(D258+Z258&lt;0.000001,0,IF(D258&lt;0.000001,F257,IF(OR(AE258=1,AND(K257&gt;0,入力設定!$B$8="返済額軽減型",入力設定!$B$11="翌月")),IF(C258=0,D258/MAX(1,E258),D258*(C258/12)/(1-(1+C258/12)^(-MAX(1,E258)))),F257)))</f>
        <v>142266.59803560167</v>
      </c>
      <c r="G258" s="70">
        <f t="shared" ca="1" si="66"/>
        <v>142266.59803560167</v>
      </c>
      <c r="H258" s="70">
        <f t="shared" ca="1" si="67"/>
        <v>58713.908160409745</v>
      </c>
      <c r="I258" s="70">
        <f t="shared" ca="1" si="68"/>
        <v>83552.689875191922</v>
      </c>
      <c r="J258" s="70">
        <f>SUMIFS(入力設定!$G$5:$G$24,入力設定!$F$5:$F$24,A258)</f>
        <v>0</v>
      </c>
      <c r="K258" s="70">
        <f t="shared" ca="1" si="69"/>
        <v>0</v>
      </c>
      <c r="L258" s="70">
        <f ca="1">IF(K258&gt;0,入力設定!$B$9,0)</f>
        <v>0</v>
      </c>
      <c r="M258" s="70">
        <f t="shared" ca="1" si="70"/>
        <v>14007785.268623147</v>
      </c>
      <c r="N258" s="70">
        <f ca="1">IF(M258+AA258&lt;0.000001,0,IF(AND(K258&gt;0,入力設定!$B$8="期間短縮型",AA258&lt;0.000001,F258&gt;M258*C258/12),MAX(1,MIN(E258-1,IF(C258=0,ROUNDUP(M258/F258,0),ROUNDUP(-LN(1-M258*(C258/12)/F258)/LN(1+C258/12),0)))),MAX(1,E258-1)))</f>
        <v>127</v>
      </c>
      <c r="O258" s="70">
        <f t="shared" ca="1" si="71"/>
        <v>142266.59803560167</v>
      </c>
      <c r="P258" s="70">
        <f t="shared" ca="1" si="85"/>
        <v>18125075.113337062</v>
      </c>
      <c r="Q258" s="70">
        <f ca="1">IF(OR(A258&gt;入力設定!$B$6*12,P258+AC258&lt;0.000001),0,IF(P258&lt;0.000001,Q257,IF(AE258=1,IF(C258=0,P258/MAX(1,入力設定!$B$6*12-A258+1),P258*(C258/12)/(1-(1+C258/12)^(-MAX(1,入力設定!$B$6*12-A258+1)))),Q257)))</f>
        <v>150233.43899513036</v>
      </c>
      <c r="R258" s="70">
        <f ca="1">IF(P258+AC258&lt;0.000001,0,IF(A258=入力設定!$B$6*12,P258+AB258+AC258,MIN(Q258,P258+AB258+AC258)))</f>
        <v>150233.43899513036</v>
      </c>
      <c r="S258" s="70">
        <f t="shared" ca="1" si="72"/>
        <v>75521.146305571092</v>
      </c>
      <c r="T258" s="70">
        <f t="shared" ca="1" si="73"/>
        <v>74712.292689559268</v>
      </c>
      <c r="U258" s="70">
        <f t="shared" ca="1" si="74"/>
        <v>18050362.820647504</v>
      </c>
      <c r="V258" s="70">
        <f t="shared" ca="1" si="75"/>
        <v>0</v>
      </c>
      <c r="W258" s="70">
        <f t="shared" ca="1" si="76"/>
        <v>0</v>
      </c>
      <c r="X258" s="70">
        <f t="shared" ca="1" si="77"/>
        <v>0</v>
      </c>
      <c r="Y258" s="71">
        <f t="shared" ca="1" si="78"/>
        <v>58713.908160409745</v>
      </c>
      <c r="Z258" s="71">
        <f t="shared" ca="1" si="86"/>
        <v>0</v>
      </c>
      <c r="AA258" s="71">
        <f t="shared" ca="1" si="79"/>
        <v>0</v>
      </c>
      <c r="AB258" s="71">
        <f t="shared" ca="1" si="80"/>
        <v>75521.146305571092</v>
      </c>
      <c r="AC258" s="71">
        <f t="shared" ca="1" si="87"/>
        <v>0</v>
      </c>
      <c r="AD258" s="71">
        <f t="shared" ca="1" si="81"/>
        <v>0</v>
      </c>
      <c r="AE258" s="72">
        <f t="shared" si="82"/>
        <v>0</v>
      </c>
      <c r="AF258" s="73">
        <f>IF(A258&gt;入力設定!$B$6*12,0,IF(AND(ISNUMBER(C258),C258&gt;=0,C258&lt;=1),0,1))</f>
        <v>0</v>
      </c>
    </row>
    <row r="259" spans="1:32" ht="21" customHeight="1">
      <c r="A259" s="68">
        <f>254</f>
        <v>254</v>
      </c>
      <c r="B259" s="69">
        <f>EDATE(入力設定!$B$7,A259-1)</f>
        <v>54027</v>
      </c>
      <c r="C259" s="80">
        <f>INDEX(入力設定!$C$15:$C$24,INT((A259-1)/60)+1)</f>
        <v>0.05</v>
      </c>
      <c r="D259" s="70">
        <f t="shared" ca="1" si="83"/>
        <v>14007785.268623147</v>
      </c>
      <c r="E259" s="70">
        <f t="shared" ca="1" si="84"/>
        <v>127</v>
      </c>
      <c r="F259" s="70">
        <f ca="1">IF(D259+Z259&lt;0.000001,0,IF(D259&lt;0.000001,F258,IF(OR(AE259=1,AND(K258&gt;0,入力設定!$B$8="返済額軽減型",入力設定!$B$11="翌月")),IF(C259=0,D259/MAX(1,E259),D259*(C259/12)/(1-(1+C259/12)^(-MAX(1,E259)))),F258)))</f>
        <v>142266.59803560167</v>
      </c>
      <c r="G259" s="70">
        <f t="shared" ca="1" si="66"/>
        <v>142266.59803560167</v>
      </c>
      <c r="H259" s="70">
        <f t="shared" ca="1" si="67"/>
        <v>58365.771952596457</v>
      </c>
      <c r="I259" s="70">
        <f t="shared" ca="1" si="68"/>
        <v>83900.826083005202</v>
      </c>
      <c r="J259" s="70">
        <f>SUMIFS(入力設定!$G$5:$G$24,入力設定!$F$5:$F$24,A259)</f>
        <v>0</v>
      </c>
      <c r="K259" s="70">
        <f t="shared" ca="1" si="69"/>
        <v>0</v>
      </c>
      <c r="L259" s="70">
        <f ca="1">IF(K259&gt;0,入力設定!$B$9,0)</f>
        <v>0</v>
      </c>
      <c r="M259" s="70">
        <f t="shared" ca="1" si="70"/>
        <v>13923884.442540143</v>
      </c>
      <c r="N259" s="70">
        <f ca="1">IF(M259+AA259&lt;0.000001,0,IF(AND(K259&gt;0,入力設定!$B$8="期間短縮型",AA259&lt;0.000001,F259&gt;M259*C259/12),MAX(1,MIN(E259-1,IF(C259=0,ROUNDUP(M259/F259,0),ROUNDUP(-LN(1-M259*(C259/12)/F259)/LN(1+C259/12),0)))),MAX(1,E259-1)))</f>
        <v>126</v>
      </c>
      <c r="O259" s="70">
        <f t="shared" ca="1" si="71"/>
        <v>142266.59803560167</v>
      </c>
      <c r="P259" s="70">
        <f t="shared" ca="1" si="85"/>
        <v>18050362.820647504</v>
      </c>
      <c r="Q259" s="70">
        <f ca="1">IF(OR(A259&gt;入力設定!$B$6*12,P259+AC259&lt;0.000001),0,IF(P259&lt;0.000001,Q258,IF(AE259=1,IF(C259=0,P259/MAX(1,入力設定!$B$6*12-A259+1),P259*(C259/12)/(1-(1+C259/12)^(-MAX(1,入力設定!$B$6*12-A259+1)))),Q258)))</f>
        <v>150233.43899513036</v>
      </c>
      <c r="R259" s="70">
        <f ca="1">IF(P259+AC259&lt;0.000001,0,IF(A259=入力設定!$B$6*12,P259+AB259+AC259,MIN(Q259,P259+AB259+AC259)))</f>
        <v>150233.43899513036</v>
      </c>
      <c r="S259" s="70">
        <f t="shared" ca="1" si="72"/>
        <v>75209.845086031273</v>
      </c>
      <c r="T259" s="70">
        <f t="shared" ca="1" si="73"/>
        <v>75023.593909099087</v>
      </c>
      <c r="U259" s="70">
        <f t="shared" ca="1" si="74"/>
        <v>17975339.226738404</v>
      </c>
      <c r="V259" s="70">
        <f t="shared" ca="1" si="75"/>
        <v>0</v>
      </c>
      <c r="W259" s="70">
        <f t="shared" ca="1" si="76"/>
        <v>0</v>
      </c>
      <c r="X259" s="70">
        <f t="shared" ca="1" si="77"/>
        <v>0</v>
      </c>
      <c r="Y259" s="71">
        <f t="shared" ca="1" si="78"/>
        <v>58365.771952596457</v>
      </c>
      <c r="Z259" s="71">
        <f t="shared" ca="1" si="86"/>
        <v>0</v>
      </c>
      <c r="AA259" s="71">
        <f t="shared" ca="1" si="79"/>
        <v>0</v>
      </c>
      <c r="AB259" s="71">
        <f t="shared" ca="1" si="80"/>
        <v>75209.845086031273</v>
      </c>
      <c r="AC259" s="71">
        <f t="shared" ca="1" si="87"/>
        <v>0</v>
      </c>
      <c r="AD259" s="71">
        <f t="shared" ca="1" si="81"/>
        <v>0</v>
      </c>
      <c r="AE259" s="72">
        <f t="shared" si="82"/>
        <v>0</v>
      </c>
      <c r="AF259" s="73">
        <f>IF(A259&gt;入力設定!$B$6*12,0,IF(AND(ISNUMBER(C259),C259&gt;=0,C259&lt;=1),0,1))</f>
        <v>0</v>
      </c>
    </row>
    <row r="260" spans="1:32" ht="21" customHeight="1">
      <c r="A260" s="68">
        <f>255</f>
        <v>255</v>
      </c>
      <c r="B260" s="69">
        <f>EDATE(入力設定!$B$7,A260-1)</f>
        <v>54058</v>
      </c>
      <c r="C260" s="80">
        <f>INDEX(入力設定!$C$15:$C$24,INT((A260-1)/60)+1)</f>
        <v>0.05</v>
      </c>
      <c r="D260" s="70">
        <f t="shared" ca="1" si="83"/>
        <v>13923884.442540143</v>
      </c>
      <c r="E260" s="70">
        <f t="shared" ca="1" si="84"/>
        <v>126</v>
      </c>
      <c r="F260" s="70">
        <f ca="1">IF(D260+Z260&lt;0.000001,0,IF(D260&lt;0.000001,F259,IF(OR(AE260=1,AND(K259&gt;0,入力設定!$B$8="返済額軽減型",入力設定!$B$11="翌月")),IF(C260=0,D260/MAX(1,E260),D260*(C260/12)/(1-(1+C260/12)^(-MAX(1,E260)))),F259)))</f>
        <v>142266.59803560167</v>
      </c>
      <c r="G260" s="70">
        <f t="shared" ca="1" si="66"/>
        <v>142266.59803560167</v>
      </c>
      <c r="H260" s="70">
        <f t="shared" ca="1" si="67"/>
        <v>58016.185177250598</v>
      </c>
      <c r="I260" s="70">
        <f t="shared" ca="1" si="68"/>
        <v>84250.412858351076</v>
      </c>
      <c r="J260" s="70">
        <f>SUMIFS(入力設定!$G$5:$G$24,入力設定!$F$5:$F$24,A260)</f>
        <v>0</v>
      </c>
      <c r="K260" s="70">
        <f t="shared" ca="1" si="69"/>
        <v>0</v>
      </c>
      <c r="L260" s="70">
        <f ca="1">IF(K260&gt;0,入力設定!$B$9,0)</f>
        <v>0</v>
      </c>
      <c r="M260" s="70">
        <f t="shared" ca="1" si="70"/>
        <v>13839634.029681792</v>
      </c>
      <c r="N260" s="70">
        <f ca="1">IF(M260+AA260&lt;0.000001,0,IF(AND(K260&gt;0,入力設定!$B$8="期間短縮型",AA260&lt;0.000001,F260&gt;M260*C260/12),MAX(1,MIN(E260-1,IF(C260=0,ROUNDUP(M260/F260,0),ROUNDUP(-LN(1-M260*(C260/12)/F260)/LN(1+C260/12),0)))),MAX(1,E260-1)))</f>
        <v>125</v>
      </c>
      <c r="O260" s="70">
        <f t="shared" ca="1" si="71"/>
        <v>142266.59803560167</v>
      </c>
      <c r="P260" s="70">
        <f t="shared" ca="1" si="85"/>
        <v>17975339.226738404</v>
      </c>
      <c r="Q260" s="70">
        <f ca="1">IF(OR(A260&gt;入力設定!$B$6*12,P260+AC260&lt;0.000001),0,IF(P260&lt;0.000001,Q259,IF(AE260=1,IF(C260=0,P260/MAX(1,入力設定!$B$6*12-A260+1),P260*(C260/12)/(1-(1+C260/12)^(-MAX(1,入力設定!$B$6*12-A260+1)))),Q259)))</f>
        <v>150233.43899513036</v>
      </c>
      <c r="R260" s="70">
        <f ca="1">IF(P260+AC260&lt;0.000001,0,IF(A260=入力設定!$B$6*12,P260+AB260+AC260,MIN(Q260,P260+AB260+AC260)))</f>
        <v>150233.43899513036</v>
      </c>
      <c r="S260" s="70">
        <f t="shared" ca="1" si="72"/>
        <v>74897.246778076689</v>
      </c>
      <c r="T260" s="70">
        <f t="shared" ca="1" si="73"/>
        <v>75336.192217053671</v>
      </c>
      <c r="U260" s="70">
        <f t="shared" ca="1" si="74"/>
        <v>17900003.034521352</v>
      </c>
      <c r="V260" s="70">
        <f t="shared" ca="1" si="75"/>
        <v>0</v>
      </c>
      <c r="W260" s="70">
        <f t="shared" ca="1" si="76"/>
        <v>0</v>
      </c>
      <c r="X260" s="70">
        <f t="shared" ca="1" si="77"/>
        <v>0</v>
      </c>
      <c r="Y260" s="71">
        <f t="shared" ca="1" si="78"/>
        <v>58016.185177250598</v>
      </c>
      <c r="Z260" s="71">
        <f t="shared" ca="1" si="86"/>
        <v>0</v>
      </c>
      <c r="AA260" s="71">
        <f t="shared" ca="1" si="79"/>
        <v>0</v>
      </c>
      <c r="AB260" s="71">
        <f t="shared" ca="1" si="80"/>
        <v>74897.246778076689</v>
      </c>
      <c r="AC260" s="71">
        <f t="shared" ca="1" si="87"/>
        <v>0</v>
      </c>
      <c r="AD260" s="71">
        <f t="shared" ca="1" si="81"/>
        <v>0</v>
      </c>
      <c r="AE260" s="72">
        <f t="shared" si="82"/>
        <v>0</v>
      </c>
      <c r="AF260" s="73">
        <f>IF(A260&gt;入力設定!$B$6*12,0,IF(AND(ISNUMBER(C260),C260&gt;=0,C260&lt;=1),0,1))</f>
        <v>0</v>
      </c>
    </row>
    <row r="261" spans="1:32" ht="21" customHeight="1">
      <c r="A261" s="68">
        <f>256</f>
        <v>256</v>
      </c>
      <c r="B261" s="69">
        <f>EDATE(入力設定!$B$7,A261-1)</f>
        <v>54089</v>
      </c>
      <c r="C261" s="80">
        <f>INDEX(入力設定!$C$15:$C$24,INT((A261-1)/60)+1)</f>
        <v>0.05</v>
      </c>
      <c r="D261" s="70">
        <f t="shared" ca="1" si="83"/>
        <v>13839634.029681792</v>
      </c>
      <c r="E261" s="70">
        <f t="shared" ca="1" si="84"/>
        <v>125</v>
      </c>
      <c r="F261" s="70">
        <f ca="1">IF(D261+Z261&lt;0.000001,0,IF(D261&lt;0.000001,F260,IF(OR(AE261=1,AND(K260&gt;0,入力設定!$B$8="返済額軽減型",入力設定!$B$11="翌月")),IF(C261=0,D261/MAX(1,E261),D261*(C261/12)/(1-(1+C261/12)^(-MAX(1,E261)))),F260)))</f>
        <v>142266.59803560167</v>
      </c>
      <c r="G261" s="70">
        <f t="shared" ca="1" si="66"/>
        <v>142266.59803560167</v>
      </c>
      <c r="H261" s="70">
        <f t="shared" ca="1" si="67"/>
        <v>57665.141790340807</v>
      </c>
      <c r="I261" s="70">
        <f t="shared" ca="1" si="68"/>
        <v>84601.456245260866</v>
      </c>
      <c r="J261" s="70">
        <f>SUMIFS(入力設定!$G$5:$G$24,入力設定!$F$5:$F$24,A261)</f>
        <v>0</v>
      </c>
      <c r="K261" s="70">
        <f t="shared" ca="1" si="69"/>
        <v>0</v>
      </c>
      <c r="L261" s="70">
        <f ca="1">IF(K261&gt;0,入力設定!$B$9,0)</f>
        <v>0</v>
      </c>
      <c r="M261" s="70">
        <f t="shared" ca="1" si="70"/>
        <v>13755032.573436532</v>
      </c>
      <c r="N261" s="70">
        <f ca="1">IF(M261+AA261&lt;0.000001,0,IF(AND(K261&gt;0,入力設定!$B$8="期間短縮型",AA261&lt;0.000001,F261&gt;M261*C261/12),MAX(1,MIN(E261-1,IF(C261=0,ROUNDUP(M261/F261,0),ROUNDUP(-LN(1-M261*(C261/12)/F261)/LN(1+C261/12),0)))),MAX(1,E261-1)))</f>
        <v>124</v>
      </c>
      <c r="O261" s="70">
        <f t="shared" ca="1" si="71"/>
        <v>142266.59803560167</v>
      </c>
      <c r="P261" s="70">
        <f t="shared" ca="1" si="85"/>
        <v>17900003.034521352</v>
      </c>
      <c r="Q261" s="70">
        <f ca="1">IF(OR(A261&gt;入力設定!$B$6*12,P261+AC261&lt;0.000001),0,IF(P261&lt;0.000001,Q260,IF(AE261=1,IF(C261=0,P261/MAX(1,入力設定!$B$6*12-A261+1),P261*(C261/12)/(1-(1+C261/12)^(-MAX(1,入力設定!$B$6*12-A261+1)))),Q260)))</f>
        <v>150233.43899513036</v>
      </c>
      <c r="R261" s="70">
        <f ca="1">IF(P261+AC261&lt;0.000001,0,IF(A261=入力設定!$B$6*12,P261+AB261+AC261,MIN(Q261,P261+AB261+AC261)))</f>
        <v>150233.43899513036</v>
      </c>
      <c r="S261" s="70">
        <f t="shared" ca="1" si="72"/>
        <v>74583.345977172299</v>
      </c>
      <c r="T261" s="70">
        <f t="shared" ca="1" si="73"/>
        <v>75650.093017958061</v>
      </c>
      <c r="U261" s="70">
        <f t="shared" ca="1" si="74"/>
        <v>17824352.941503394</v>
      </c>
      <c r="V261" s="70">
        <f t="shared" ca="1" si="75"/>
        <v>0</v>
      </c>
      <c r="W261" s="70">
        <f t="shared" ca="1" si="76"/>
        <v>0</v>
      </c>
      <c r="X261" s="70">
        <f t="shared" ca="1" si="77"/>
        <v>0</v>
      </c>
      <c r="Y261" s="71">
        <f t="shared" ca="1" si="78"/>
        <v>57665.141790340807</v>
      </c>
      <c r="Z261" s="71">
        <f t="shared" ca="1" si="86"/>
        <v>0</v>
      </c>
      <c r="AA261" s="71">
        <f t="shared" ca="1" si="79"/>
        <v>0</v>
      </c>
      <c r="AB261" s="71">
        <f t="shared" ca="1" si="80"/>
        <v>74583.345977172299</v>
      </c>
      <c r="AC261" s="71">
        <f t="shared" ca="1" si="87"/>
        <v>0</v>
      </c>
      <c r="AD261" s="71">
        <f t="shared" ca="1" si="81"/>
        <v>0</v>
      </c>
      <c r="AE261" s="72">
        <f t="shared" si="82"/>
        <v>0</v>
      </c>
      <c r="AF261" s="73">
        <f>IF(A261&gt;入力設定!$B$6*12,0,IF(AND(ISNUMBER(C261),C261&gt;=0,C261&lt;=1),0,1))</f>
        <v>0</v>
      </c>
    </row>
    <row r="262" spans="1:32" ht="21" customHeight="1">
      <c r="A262" s="68">
        <f>257</f>
        <v>257</v>
      </c>
      <c r="B262" s="69">
        <f>EDATE(入力設定!$B$7,A262-1)</f>
        <v>54118</v>
      </c>
      <c r="C262" s="80">
        <f>INDEX(入力設定!$C$15:$C$24,INT((A262-1)/60)+1)</f>
        <v>0.05</v>
      </c>
      <c r="D262" s="70">
        <f t="shared" ca="1" si="83"/>
        <v>13755032.573436532</v>
      </c>
      <c r="E262" s="70">
        <f t="shared" ca="1" si="84"/>
        <v>124</v>
      </c>
      <c r="F262" s="70">
        <f ca="1">IF(D262+Z262&lt;0.000001,0,IF(D262&lt;0.000001,F261,IF(OR(AE262=1,AND(K261&gt;0,入力設定!$B$8="返済額軽減型",入力設定!$B$11="翌月")),IF(C262=0,D262/MAX(1,E262),D262*(C262/12)/(1-(1+C262/12)^(-MAX(1,E262)))),F261)))</f>
        <v>142266.59803560167</v>
      </c>
      <c r="G262" s="70">
        <f t="shared" ref="G262:G325" ca="1" si="88">IF(D262+Z262&lt;0.000001,0,IF(E262&lt;=1,D262+Y262+Z262,MIN(D262+Y262+Z262,F262)))</f>
        <v>142266.59803560167</v>
      </c>
      <c r="H262" s="70">
        <f t="shared" ref="H262:H325" ca="1" si="89">MIN(G262,Y262+Z262)</f>
        <v>57312.635722652223</v>
      </c>
      <c r="I262" s="70">
        <f t="shared" ref="I262:I325" ca="1" si="90">G262-H262</f>
        <v>84953.962312949443</v>
      </c>
      <c r="J262" s="70">
        <f>SUMIFS(入力設定!$G$5:$G$24,入力設定!$F$5:$F$24,A262)</f>
        <v>0</v>
      </c>
      <c r="K262" s="70">
        <f t="shared" ref="K262:K325" ca="1" si="91">MIN(MAX(0,D262-I262),J262)</f>
        <v>0</v>
      </c>
      <c r="L262" s="70">
        <f ca="1">IF(K262&gt;0,入力設定!$B$9,0)</f>
        <v>0</v>
      </c>
      <c r="M262" s="70">
        <f t="shared" ref="M262:M325" ca="1" si="92">MAX(0,D262-I262-K262)</f>
        <v>13670078.611123582</v>
      </c>
      <c r="N262" s="70">
        <f ca="1">IF(M262+AA262&lt;0.000001,0,IF(AND(K262&gt;0,入力設定!$B$8="期間短縮型",AA262&lt;0.000001,F262&gt;M262*C262/12),MAX(1,MIN(E262-1,IF(C262=0,ROUNDUP(M262/F262,0),ROUNDUP(-LN(1-M262*(C262/12)/F262)/LN(1+C262/12),0)))),MAX(1,E262-1)))</f>
        <v>123</v>
      </c>
      <c r="O262" s="70">
        <f t="shared" ref="O262:O325" ca="1" si="93">SUM(G262,K262,L262)</f>
        <v>142266.59803560167</v>
      </c>
      <c r="P262" s="70">
        <f t="shared" ca="1" si="85"/>
        <v>17824352.941503394</v>
      </c>
      <c r="Q262" s="70">
        <f ca="1">IF(OR(A262&gt;入力設定!$B$6*12,P262+AC262&lt;0.000001),0,IF(P262&lt;0.000001,Q261,IF(AE262=1,IF(C262=0,P262/MAX(1,入力設定!$B$6*12-A262+1),P262*(C262/12)/(1-(1+C262/12)^(-MAX(1,入力設定!$B$6*12-A262+1)))),Q261)))</f>
        <v>150233.43899513036</v>
      </c>
      <c r="R262" s="70">
        <f ca="1">IF(P262+AC262&lt;0.000001,0,IF(A262=入力設定!$B$6*12,P262+AB262+AC262,MIN(Q262,P262+AB262+AC262)))</f>
        <v>150233.43899513036</v>
      </c>
      <c r="S262" s="70">
        <f t="shared" ref="S262:S325" ca="1" si="94">MIN(R262,AB262+AC262)</f>
        <v>74268.137256264148</v>
      </c>
      <c r="T262" s="70">
        <f t="shared" ref="T262:T325" ca="1" si="95">R262-S262</f>
        <v>75965.301738866212</v>
      </c>
      <c r="U262" s="70">
        <f t="shared" ref="U262:U325" ca="1" si="96">MAX(0,P262-T262)</f>
        <v>17748387.639764529</v>
      </c>
      <c r="V262" s="70">
        <f t="shared" ref="V262:V325" ca="1" si="97">D262-I262-K262-M262</f>
        <v>0</v>
      </c>
      <c r="W262" s="70">
        <f t="shared" ref="W262:W325" ca="1" si="98">P262-T262-U262</f>
        <v>0</v>
      </c>
      <c r="X262" s="70">
        <f t="shared" ref="X262:X325" ca="1" si="99">O262-G262-K262-L262</f>
        <v>0</v>
      </c>
      <c r="Y262" s="71">
        <f t="shared" ref="Y262:Y325" ca="1" si="100">D262*C262/12</f>
        <v>57312.635722652223</v>
      </c>
      <c r="Z262" s="71">
        <f t="shared" ca="1" si="86"/>
        <v>0</v>
      </c>
      <c r="AA262" s="71">
        <f t="shared" ref="AA262:AA325" ca="1" si="101">MAX(0,Z262+Y262-H262)</f>
        <v>0</v>
      </c>
      <c r="AB262" s="71">
        <f t="shared" ref="AB262:AB325" ca="1" si="102">P262*C262/12</f>
        <v>74268.137256264148</v>
      </c>
      <c r="AC262" s="71">
        <f t="shared" ca="1" si="87"/>
        <v>0</v>
      </c>
      <c r="AD262" s="71">
        <f t="shared" ref="AD262:AD325" ca="1" si="103">MAX(0,AC262+AB262-S262)</f>
        <v>0</v>
      </c>
      <c r="AE262" s="72">
        <f t="shared" ref="AE262:AE325" si="104">IF(MOD(A262-1,60)=0,1,0)</f>
        <v>0</v>
      </c>
      <c r="AF262" s="73">
        <f>IF(A262&gt;入力設定!$B$6*12,0,IF(AND(ISNUMBER(C262),C262&gt;=0,C262&lt;=1),0,1))</f>
        <v>0</v>
      </c>
    </row>
    <row r="263" spans="1:32" ht="21" customHeight="1">
      <c r="A263" s="68">
        <f>258</f>
        <v>258</v>
      </c>
      <c r="B263" s="69">
        <f>EDATE(入力設定!$B$7,A263-1)</f>
        <v>54149</v>
      </c>
      <c r="C263" s="80">
        <f>INDEX(入力設定!$C$15:$C$24,INT((A263-1)/60)+1)</f>
        <v>0.05</v>
      </c>
      <c r="D263" s="70">
        <f t="shared" ref="D263:D326" ca="1" si="105">M262</f>
        <v>13670078.611123582</v>
      </c>
      <c r="E263" s="70">
        <f t="shared" ref="E263:E326" ca="1" si="106">N262</f>
        <v>123</v>
      </c>
      <c r="F263" s="70">
        <f ca="1">IF(D263+Z263&lt;0.000001,0,IF(D263&lt;0.000001,F262,IF(OR(AE263=1,AND(K262&gt;0,入力設定!$B$8="返済額軽減型",入力設定!$B$11="翌月")),IF(C263=0,D263/MAX(1,E263),D263*(C263/12)/(1-(1+C263/12)^(-MAX(1,E263)))),F262)))</f>
        <v>142266.59803560167</v>
      </c>
      <c r="G263" s="70">
        <f t="shared" ca="1" si="88"/>
        <v>142266.59803560167</v>
      </c>
      <c r="H263" s="70">
        <f t="shared" ca="1" si="89"/>
        <v>56958.660879681593</v>
      </c>
      <c r="I263" s="70">
        <f t="shared" ca="1" si="90"/>
        <v>85307.937155920081</v>
      </c>
      <c r="J263" s="70">
        <f>SUMIFS(入力設定!$G$5:$G$24,入力設定!$F$5:$F$24,A263)</f>
        <v>0</v>
      </c>
      <c r="K263" s="70">
        <f t="shared" ca="1" si="91"/>
        <v>0</v>
      </c>
      <c r="L263" s="70">
        <f ca="1">IF(K263&gt;0,入力設定!$B$9,0)</f>
        <v>0</v>
      </c>
      <c r="M263" s="70">
        <f t="shared" ca="1" si="92"/>
        <v>13584770.673967663</v>
      </c>
      <c r="N263" s="70">
        <f ca="1">IF(M263+AA263&lt;0.000001,0,IF(AND(K263&gt;0,入力設定!$B$8="期間短縮型",AA263&lt;0.000001,F263&gt;M263*C263/12),MAX(1,MIN(E263-1,IF(C263=0,ROUNDUP(M263/F263,0),ROUNDUP(-LN(1-M263*(C263/12)/F263)/LN(1+C263/12),0)))),MAX(1,E263-1)))</f>
        <v>122</v>
      </c>
      <c r="O263" s="70">
        <f t="shared" ca="1" si="93"/>
        <v>142266.59803560167</v>
      </c>
      <c r="P263" s="70">
        <f t="shared" ref="P263:P326" ca="1" si="107">U262</f>
        <v>17748387.639764529</v>
      </c>
      <c r="Q263" s="70">
        <f ca="1">IF(OR(A263&gt;入力設定!$B$6*12,P263+AC263&lt;0.000001),0,IF(P263&lt;0.000001,Q262,IF(AE263=1,IF(C263=0,P263/MAX(1,入力設定!$B$6*12-A263+1),P263*(C263/12)/(1-(1+C263/12)^(-MAX(1,入力設定!$B$6*12-A263+1)))),Q262)))</f>
        <v>150233.43899513036</v>
      </c>
      <c r="R263" s="70">
        <f ca="1">IF(P263+AC263&lt;0.000001,0,IF(A263=入力設定!$B$6*12,P263+AB263+AC263,MIN(Q263,P263+AB263+AC263)))</f>
        <v>150233.43899513036</v>
      </c>
      <c r="S263" s="70">
        <f t="shared" ca="1" si="94"/>
        <v>73951.615165685536</v>
      </c>
      <c r="T263" s="70">
        <f t="shared" ca="1" si="95"/>
        <v>76281.823829444824</v>
      </c>
      <c r="U263" s="70">
        <f t="shared" ca="1" si="96"/>
        <v>17672105.815935083</v>
      </c>
      <c r="V263" s="70">
        <f t="shared" ca="1" si="97"/>
        <v>0</v>
      </c>
      <c r="W263" s="70">
        <f t="shared" ca="1" si="98"/>
        <v>0</v>
      </c>
      <c r="X263" s="70">
        <f t="shared" ca="1" si="99"/>
        <v>0</v>
      </c>
      <c r="Y263" s="71">
        <f t="shared" ca="1" si="100"/>
        <v>56958.660879681593</v>
      </c>
      <c r="Z263" s="71">
        <f t="shared" ref="Z263:Z326" ca="1" si="108">AA262</f>
        <v>0</v>
      </c>
      <c r="AA263" s="71">
        <f t="shared" ca="1" si="101"/>
        <v>0</v>
      </c>
      <c r="AB263" s="71">
        <f t="shared" ca="1" si="102"/>
        <v>73951.615165685536</v>
      </c>
      <c r="AC263" s="71">
        <f t="shared" ref="AC263:AC326" ca="1" si="109">AD262</f>
        <v>0</v>
      </c>
      <c r="AD263" s="71">
        <f t="shared" ca="1" si="103"/>
        <v>0</v>
      </c>
      <c r="AE263" s="72">
        <f t="shared" si="104"/>
        <v>0</v>
      </c>
      <c r="AF263" s="73">
        <f>IF(A263&gt;入力設定!$B$6*12,0,IF(AND(ISNUMBER(C263),C263&gt;=0,C263&lt;=1),0,1))</f>
        <v>0</v>
      </c>
    </row>
    <row r="264" spans="1:32" ht="21" customHeight="1">
      <c r="A264" s="68">
        <f>259</f>
        <v>259</v>
      </c>
      <c r="B264" s="69">
        <f>EDATE(入力設定!$B$7,A264-1)</f>
        <v>54179</v>
      </c>
      <c r="C264" s="80">
        <f>INDEX(入力設定!$C$15:$C$24,INT((A264-1)/60)+1)</f>
        <v>0.05</v>
      </c>
      <c r="D264" s="70">
        <f t="shared" ca="1" si="105"/>
        <v>13584770.673967663</v>
      </c>
      <c r="E264" s="70">
        <f t="shared" ca="1" si="106"/>
        <v>122</v>
      </c>
      <c r="F264" s="70">
        <f ca="1">IF(D264+Z264&lt;0.000001,0,IF(D264&lt;0.000001,F263,IF(OR(AE264=1,AND(K263&gt;0,入力設定!$B$8="返済額軽減型",入力設定!$B$11="翌月")),IF(C264=0,D264/MAX(1,E264),D264*(C264/12)/(1-(1+C264/12)^(-MAX(1,E264)))),F263)))</f>
        <v>142266.59803560167</v>
      </c>
      <c r="G264" s="70">
        <f t="shared" ca="1" si="88"/>
        <v>142266.59803560167</v>
      </c>
      <c r="H264" s="70">
        <f t="shared" ca="1" si="89"/>
        <v>56603.211141531938</v>
      </c>
      <c r="I264" s="70">
        <f t="shared" ca="1" si="90"/>
        <v>85663.386894069728</v>
      </c>
      <c r="J264" s="70">
        <f>SUMIFS(入力設定!$G$5:$G$24,入力設定!$F$5:$F$24,A264)</f>
        <v>0</v>
      </c>
      <c r="K264" s="70">
        <f t="shared" ca="1" si="91"/>
        <v>0</v>
      </c>
      <c r="L264" s="70">
        <f ca="1">IF(K264&gt;0,入力設定!$B$9,0)</f>
        <v>0</v>
      </c>
      <c r="M264" s="70">
        <f t="shared" ca="1" si="92"/>
        <v>13499107.287073594</v>
      </c>
      <c r="N264" s="70">
        <f ca="1">IF(M264+AA264&lt;0.000001,0,IF(AND(K264&gt;0,入力設定!$B$8="期間短縮型",AA264&lt;0.000001,F264&gt;M264*C264/12),MAX(1,MIN(E264-1,IF(C264=0,ROUNDUP(M264/F264,0),ROUNDUP(-LN(1-M264*(C264/12)/F264)/LN(1+C264/12),0)))),MAX(1,E264-1)))</f>
        <v>121</v>
      </c>
      <c r="O264" s="70">
        <f t="shared" ca="1" si="93"/>
        <v>142266.59803560167</v>
      </c>
      <c r="P264" s="70">
        <f t="shared" ca="1" si="107"/>
        <v>17672105.815935083</v>
      </c>
      <c r="Q264" s="70">
        <f ca="1">IF(OR(A264&gt;入力設定!$B$6*12,P264+AC264&lt;0.000001),0,IF(P264&lt;0.000001,Q263,IF(AE264=1,IF(C264=0,P264/MAX(1,入力設定!$B$6*12-A264+1),P264*(C264/12)/(1-(1+C264/12)^(-MAX(1,入力設定!$B$6*12-A264+1)))),Q263)))</f>
        <v>150233.43899513036</v>
      </c>
      <c r="R264" s="70">
        <f ca="1">IF(P264+AC264&lt;0.000001,0,IF(A264=入力設定!$B$6*12,P264+AB264+AC264,MIN(Q264,P264+AB264+AC264)))</f>
        <v>150233.43899513036</v>
      </c>
      <c r="S264" s="70">
        <f t="shared" ca="1" si="94"/>
        <v>73633.774233062853</v>
      </c>
      <c r="T264" s="70">
        <f t="shared" ca="1" si="95"/>
        <v>76599.664762067507</v>
      </c>
      <c r="U264" s="70">
        <f t="shared" ca="1" si="96"/>
        <v>17595506.151173014</v>
      </c>
      <c r="V264" s="70">
        <f t="shared" ca="1" si="97"/>
        <v>0</v>
      </c>
      <c r="W264" s="70">
        <f t="shared" ca="1" si="98"/>
        <v>0</v>
      </c>
      <c r="X264" s="70">
        <f t="shared" ca="1" si="99"/>
        <v>0</v>
      </c>
      <c r="Y264" s="71">
        <f t="shared" ca="1" si="100"/>
        <v>56603.211141531938</v>
      </c>
      <c r="Z264" s="71">
        <f t="shared" ca="1" si="108"/>
        <v>0</v>
      </c>
      <c r="AA264" s="71">
        <f t="shared" ca="1" si="101"/>
        <v>0</v>
      </c>
      <c r="AB264" s="71">
        <f t="shared" ca="1" si="102"/>
        <v>73633.774233062853</v>
      </c>
      <c r="AC264" s="71">
        <f t="shared" ca="1" si="109"/>
        <v>0</v>
      </c>
      <c r="AD264" s="71">
        <f t="shared" ca="1" si="103"/>
        <v>0</v>
      </c>
      <c r="AE264" s="72">
        <f t="shared" si="104"/>
        <v>0</v>
      </c>
      <c r="AF264" s="73">
        <f>IF(A264&gt;入力設定!$B$6*12,0,IF(AND(ISNUMBER(C264),C264&gt;=0,C264&lt;=1),0,1))</f>
        <v>0</v>
      </c>
    </row>
    <row r="265" spans="1:32" ht="21" customHeight="1">
      <c r="A265" s="68">
        <f>260</f>
        <v>260</v>
      </c>
      <c r="B265" s="69">
        <f>EDATE(入力設定!$B$7,A265-1)</f>
        <v>54210</v>
      </c>
      <c r="C265" s="80">
        <f>INDEX(入力設定!$C$15:$C$24,INT((A265-1)/60)+1)</f>
        <v>0.05</v>
      </c>
      <c r="D265" s="70">
        <f t="shared" ca="1" si="105"/>
        <v>13499107.287073594</v>
      </c>
      <c r="E265" s="70">
        <f t="shared" ca="1" si="106"/>
        <v>121</v>
      </c>
      <c r="F265" s="70">
        <f ca="1">IF(D265+Z265&lt;0.000001,0,IF(D265&lt;0.000001,F264,IF(OR(AE265=1,AND(K264&gt;0,入力設定!$B$8="返済額軽減型",入力設定!$B$11="翌月")),IF(C265=0,D265/MAX(1,E265),D265*(C265/12)/(1-(1+C265/12)^(-MAX(1,E265)))),F264)))</f>
        <v>142266.59803560167</v>
      </c>
      <c r="G265" s="70">
        <f t="shared" ca="1" si="88"/>
        <v>142266.59803560167</v>
      </c>
      <c r="H265" s="70">
        <f t="shared" ca="1" si="89"/>
        <v>56246.280362806639</v>
      </c>
      <c r="I265" s="70">
        <f t="shared" ca="1" si="90"/>
        <v>86020.317672795034</v>
      </c>
      <c r="J265" s="70">
        <f>SUMIFS(入力設定!$G$5:$G$24,入力設定!$F$5:$F$24,A265)</f>
        <v>0</v>
      </c>
      <c r="K265" s="70">
        <f t="shared" ca="1" si="91"/>
        <v>0</v>
      </c>
      <c r="L265" s="70">
        <f ca="1">IF(K265&gt;0,入力設定!$B$9,0)</f>
        <v>0</v>
      </c>
      <c r="M265" s="70">
        <f t="shared" ca="1" si="92"/>
        <v>13413086.969400799</v>
      </c>
      <c r="N265" s="70">
        <f ca="1">IF(M265+AA265&lt;0.000001,0,IF(AND(K265&gt;0,入力設定!$B$8="期間短縮型",AA265&lt;0.000001,F265&gt;M265*C265/12),MAX(1,MIN(E265-1,IF(C265=0,ROUNDUP(M265/F265,0),ROUNDUP(-LN(1-M265*(C265/12)/F265)/LN(1+C265/12),0)))),MAX(1,E265-1)))</f>
        <v>120</v>
      </c>
      <c r="O265" s="70">
        <f t="shared" ca="1" si="93"/>
        <v>142266.59803560167</v>
      </c>
      <c r="P265" s="70">
        <f t="shared" ca="1" si="107"/>
        <v>17595506.151173014</v>
      </c>
      <c r="Q265" s="70">
        <f ca="1">IF(OR(A265&gt;入力設定!$B$6*12,P265+AC265&lt;0.000001),0,IF(P265&lt;0.000001,Q264,IF(AE265=1,IF(C265=0,P265/MAX(1,入力設定!$B$6*12-A265+1),P265*(C265/12)/(1-(1+C265/12)^(-MAX(1,入力設定!$B$6*12-A265+1)))),Q264)))</f>
        <v>150233.43899513036</v>
      </c>
      <c r="R265" s="70">
        <f ca="1">IF(P265+AC265&lt;0.000001,0,IF(A265=入力設定!$B$6*12,P265+AB265+AC265,MIN(Q265,P265+AB265+AC265)))</f>
        <v>150233.43899513036</v>
      </c>
      <c r="S265" s="70">
        <f t="shared" ca="1" si="94"/>
        <v>73314.60896322089</v>
      </c>
      <c r="T265" s="70">
        <f t="shared" ca="1" si="95"/>
        <v>76918.830031909471</v>
      </c>
      <c r="U265" s="70">
        <f t="shared" ca="1" si="96"/>
        <v>17518587.321141105</v>
      </c>
      <c r="V265" s="70">
        <f t="shared" ca="1" si="97"/>
        <v>0</v>
      </c>
      <c r="W265" s="70">
        <f t="shared" ca="1" si="98"/>
        <v>0</v>
      </c>
      <c r="X265" s="70">
        <f t="shared" ca="1" si="99"/>
        <v>0</v>
      </c>
      <c r="Y265" s="71">
        <f t="shared" ca="1" si="100"/>
        <v>56246.280362806639</v>
      </c>
      <c r="Z265" s="71">
        <f t="shared" ca="1" si="108"/>
        <v>0</v>
      </c>
      <c r="AA265" s="71">
        <f t="shared" ca="1" si="101"/>
        <v>0</v>
      </c>
      <c r="AB265" s="71">
        <f t="shared" ca="1" si="102"/>
        <v>73314.60896322089</v>
      </c>
      <c r="AC265" s="71">
        <f t="shared" ca="1" si="109"/>
        <v>0</v>
      </c>
      <c r="AD265" s="71">
        <f t="shared" ca="1" si="103"/>
        <v>0</v>
      </c>
      <c r="AE265" s="72">
        <f t="shared" si="104"/>
        <v>0</v>
      </c>
      <c r="AF265" s="73">
        <f>IF(A265&gt;入力設定!$B$6*12,0,IF(AND(ISNUMBER(C265),C265&gt;=0,C265&lt;=1),0,1))</f>
        <v>0</v>
      </c>
    </row>
    <row r="266" spans="1:32" ht="21" customHeight="1">
      <c r="A266" s="68">
        <f>261</f>
        <v>261</v>
      </c>
      <c r="B266" s="69">
        <f>EDATE(入力設定!$B$7,A266-1)</f>
        <v>54240</v>
      </c>
      <c r="C266" s="80">
        <f>INDEX(入力設定!$C$15:$C$24,INT((A266-1)/60)+1)</f>
        <v>0.05</v>
      </c>
      <c r="D266" s="70">
        <f t="shared" ca="1" si="105"/>
        <v>13413086.969400799</v>
      </c>
      <c r="E266" s="70">
        <f t="shared" ca="1" si="106"/>
        <v>120</v>
      </c>
      <c r="F266" s="70">
        <f ca="1">IF(D266+Z266&lt;0.000001,0,IF(D266&lt;0.000001,F265,IF(OR(AE266=1,AND(K265&gt;0,入力設定!$B$8="返済額軽減型",入力設定!$B$11="翌月")),IF(C266=0,D266/MAX(1,E266),D266*(C266/12)/(1-(1+C266/12)^(-MAX(1,E266)))),F265)))</f>
        <v>142266.59803560167</v>
      </c>
      <c r="G266" s="70">
        <f t="shared" ca="1" si="88"/>
        <v>142266.59803560167</v>
      </c>
      <c r="H266" s="70">
        <f t="shared" ca="1" si="89"/>
        <v>55887.862372503332</v>
      </c>
      <c r="I266" s="70">
        <f t="shared" ca="1" si="90"/>
        <v>86378.735663098341</v>
      </c>
      <c r="J266" s="70">
        <f>SUMIFS(入力設定!$G$5:$G$24,入力設定!$F$5:$F$24,A266)</f>
        <v>0</v>
      </c>
      <c r="K266" s="70">
        <f t="shared" ca="1" si="91"/>
        <v>0</v>
      </c>
      <c r="L266" s="70">
        <f ca="1">IF(K266&gt;0,入力設定!$B$9,0)</f>
        <v>0</v>
      </c>
      <c r="M266" s="70">
        <f t="shared" ca="1" si="92"/>
        <v>13326708.2337377</v>
      </c>
      <c r="N266" s="70">
        <f ca="1">IF(M266+AA266&lt;0.000001,0,IF(AND(K266&gt;0,入力設定!$B$8="期間短縮型",AA266&lt;0.000001,F266&gt;M266*C266/12),MAX(1,MIN(E266-1,IF(C266=0,ROUNDUP(M266/F266,0),ROUNDUP(-LN(1-M266*(C266/12)/F266)/LN(1+C266/12),0)))),MAX(1,E266-1)))</f>
        <v>119</v>
      </c>
      <c r="O266" s="70">
        <f t="shared" ca="1" si="93"/>
        <v>142266.59803560167</v>
      </c>
      <c r="P266" s="70">
        <f t="shared" ca="1" si="107"/>
        <v>17518587.321141105</v>
      </c>
      <c r="Q266" s="70">
        <f ca="1">IF(OR(A266&gt;入力設定!$B$6*12,P266+AC266&lt;0.000001),0,IF(P266&lt;0.000001,Q265,IF(AE266=1,IF(C266=0,P266/MAX(1,入力設定!$B$6*12-A266+1),P266*(C266/12)/(1-(1+C266/12)^(-MAX(1,入力設定!$B$6*12-A266+1)))),Q265)))</f>
        <v>150233.43899513036</v>
      </c>
      <c r="R266" s="70">
        <f ca="1">IF(P266+AC266&lt;0.000001,0,IF(A266=入力設定!$B$6*12,P266+AB266+AC266,MIN(Q266,P266+AB266+AC266)))</f>
        <v>150233.43899513036</v>
      </c>
      <c r="S266" s="70">
        <f t="shared" ca="1" si="94"/>
        <v>72994.113838087942</v>
      </c>
      <c r="T266" s="70">
        <f t="shared" ca="1" si="95"/>
        <v>77239.325157042418</v>
      </c>
      <c r="U266" s="70">
        <f t="shared" ca="1" si="96"/>
        <v>17441347.995984063</v>
      </c>
      <c r="V266" s="70">
        <f t="shared" ca="1" si="97"/>
        <v>0</v>
      </c>
      <c r="W266" s="70">
        <f t="shared" ca="1" si="98"/>
        <v>0</v>
      </c>
      <c r="X266" s="70">
        <f t="shared" ca="1" si="99"/>
        <v>0</v>
      </c>
      <c r="Y266" s="71">
        <f t="shared" ca="1" si="100"/>
        <v>55887.862372503332</v>
      </c>
      <c r="Z266" s="71">
        <f t="shared" ca="1" si="108"/>
        <v>0</v>
      </c>
      <c r="AA266" s="71">
        <f t="shared" ca="1" si="101"/>
        <v>0</v>
      </c>
      <c r="AB266" s="71">
        <f t="shared" ca="1" si="102"/>
        <v>72994.113838087942</v>
      </c>
      <c r="AC266" s="71">
        <f t="shared" ca="1" si="109"/>
        <v>0</v>
      </c>
      <c r="AD266" s="71">
        <f t="shared" ca="1" si="103"/>
        <v>0</v>
      </c>
      <c r="AE266" s="72">
        <f t="shared" si="104"/>
        <v>0</v>
      </c>
      <c r="AF266" s="73">
        <f>IF(A266&gt;入力設定!$B$6*12,0,IF(AND(ISNUMBER(C266),C266&gt;=0,C266&lt;=1),0,1))</f>
        <v>0</v>
      </c>
    </row>
    <row r="267" spans="1:32" ht="21" customHeight="1">
      <c r="A267" s="68">
        <f>262</f>
        <v>262</v>
      </c>
      <c r="B267" s="69">
        <f>EDATE(入力設定!$B$7,A267-1)</f>
        <v>54271</v>
      </c>
      <c r="C267" s="80">
        <f>INDEX(入力設定!$C$15:$C$24,INT((A267-1)/60)+1)</f>
        <v>0.05</v>
      </c>
      <c r="D267" s="70">
        <f t="shared" ca="1" si="105"/>
        <v>13326708.2337377</v>
      </c>
      <c r="E267" s="70">
        <f t="shared" ca="1" si="106"/>
        <v>119</v>
      </c>
      <c r="F267" s="70">
        <f ca="1">IF(D267+Z267&lt;0.000001,0,IF(D267&lt;0.000001,F266,IF(OR(AE267=1,AND(K266&gt;0,入力設定!$B$8="返済額軽減型",入力設定!$B$11="翌月")),IF(C267=0,D267/MAX(1,E267),D267*(C267/12)/(1-(1+C267/12)^(-MAX(1,E267)))),F266)))</f>
        <v>142266.59803560167</v>
      </c>
      <c r="G267" s="70">
        <f t="shared" ca="1" si="88"/>
        <v>142266.59803560167</v>
      </c>
      <c r="H267" s="70">
        <f t="shared" ca="1" si="89"/>
        <v>55527.950973907085</v>
      </c>
      <c r="I267" s="70">
        <f t="shared" ca="1" si="90"/>
        <v>86738.647061694588</v>
      </c>
      <c r="J267" s="70">
        <f>SUMIFS(入力設定!$G$5:$G$24,入力設定!$F$5:$F$24,A267)</f>
        <v>0</v>
      </c>
      <c r="K267" s="70">
        <f t="shared" ca="1" si="91"/>
        <v>0</v>
      </c>
      <c r="L267" s="70">
        <f ca="1">IF(K267&gt;0,入力設定!$B$9,0)</f>
        <v>0</v>
      </c>
      <c r="M267" s="70">
        <f t="shared" ca="1" si="92"/>
        <v>13239969.586676005</v>
      </c>
      <c r="N267" s="70">
        <f ca="1">IF(M267+AA267&lt;0.000001,0,IF(AND(K267&gt;0,入力設定!$B$8="期間短縮型",AA267&lt;0.000001,F267&gt;M267*C267/12),MAX(1,MIN(E267-1,IF(C267=0,ROUNDUP(M267/F267,0),ROUNDUP(-LN(1-M267*(C267/12)/F267)/LN(1+C267/12),0)))),MAX(1,E267-1)))</f>
        <v>118</v>
      </c>
      <c r="O267" s="70">
        <f t="shared" ca="1" si="93"/>
        <v>142266.59803560167</v>
      </c>
      <c r="P267" s="70">
        <f t="shared" ca="1" si="107"/>
        <v>17441347.995984063</v>
      </c>
      <c r="Q267" s="70">
        <f ca="1">IF(OR(A267&gt;入力設定!$B$6*12,P267+AC267&lt;0.000001),0,IF(P267&lt;0.000001,Q266,IF(AE267=1,IF(C267=0,P267/MAX(1,入力設定!$B$6*12-A267+1),P267*(C267/12)/(1-(1+C267/12)^(-MAX(1,入力設定!$B$6*12-A267+1)))),Q266)))</f>
        <v>150233.43899513036</v>
      </c>
      <c r="R267" s="70">
        <f ca="1">IF(P267+AC267&lt;0.000001,0,IF(A267=入力設定!$B$6*12,P267+AB267+AC267,MIN(Q267,P267+AB267+AC267)))</f>
        <v>150233.43899513036</v>
      </c>
      <c r="S267" s="70">
        <f t="shared" ca="1" si="94"/>
        <v>72672.283316600267</v>
      </c>
      <c r="T267" s="70">
        <f t="shared" ca="1" si="95"/>
        <v>77561.155678530093</v>
      </c>
      <c r="U267" s="70">
        <f t="shared" ca="1" si="96"/>
        <v>17363786.840305533</v>
      </c>
      <c r="V267" s="70">
        <f t="shared" ca="1" si="97"/>
        <v>0</v>
      </c>
      <c r="W267" s="70">
        <f t="shared" ca="1" si="98"/>
        <v>0</v>
      </c>
      <c r="X267" s="70">
        <f t="shared" ca="1" si="99"/>
        <v>0</v>
      </c>
      <c r="Y267" s="71">
        <f t="shared" ca="1" si="100"/>
        <v>55527.950973907085</v>
      </c>
      <c r="Z267" s="71">
        <f t="shared" ca="1" si="108"/>
        <v>0</v>
      </c>
      <c r="AA267" s="71">
        <f t="shared" ca="1" si="101"/>
        <v>0</v>
      </c>
      <c r="AB267" s="71">
        <f t="shared" ca="1" si="102"/>
        <v>72672.283316600267</v>
      </c>
      <c r="AC267" s="71">
        <f t="shared" ca="1" si="109"/>
        <v>0</v>
      </c>
      <c r="AD267" s="71">
        <f t="shared" ca="1" si="103"/>
        <v>0</v>
      </c>
      <c r="AE267" s="72">
        <f t="shared" si="104"/>
        <v>0</v>
      </c>
      <c r="AF267" s="73">
        <f>IF(A267&gt;入力設定!$B$6*12,0,IF(AND(ISNUMBER(C267),C267&gt;=0,C267&lt;=1),0,1))</f>
        <v>0</v>
      </c>
    </row>
    <row r="268" spans="1:32" ht="21" customHeight="1">
      <c r="A268" s="68">
        <f>263</f>
        <v>263</v>
      </c>
      <c r="B268" s="69">
        <f>EDATE(入力設定!$B$7,A268-1)</f>
        <v>54302</v>
      </c>
      <c r="C268" s="80">
        <f>INDEX(入力設定!$C$15:$C$24,INT((A268-1)/60)+1)</f>
        <v>0.05</v>
      </c>
      <c r="D268" s="70">
        <f t="shared" ca="1" si="105"/>
        <v>13239969.586676005</v>
      </c>
      <c r="E268" s="70">
        <f t="shared" ca="1" si="106"/>
        <v>118</v>
      </c>
      <c r="F268" s="70">
        <f ca="1">IF(D268+Z268&lt;0.000001,0,IF(D268&lt;0.000001,F267,IF(OR(AE268=1,AND(K267&gt;0,入力設定!$B$8="返済額軽減型",入力設定!$B$11="翌月")),IF(C268=0,D268/MAX(1,E268),D268*(C268/12)/(1-(1+C268/12)^(-MAX(1,E268)))),F267)))</f>
        <v>142266.59803560167</v>
      </c>
      <c r="G268" s="70">
        <f t="shared" ca="1" si="88"/>
        <v>142266.59803560167</v>
      </c>
      <c r="H268" s="70">
        <f t="shared" ca="1" si="89"/>
        <v>55166.539944483353</v>
      </c>
      <c r="I268" s="70">
        <f t="shared" ca="1" si="90"/>
        <v>87100.058091118321</v>
      </c>
      <c r="J268" s="70">
        <f>SUMIFS(入力設定!$G$5:$G$24,入力設定!$F$5:$F$24,A268)</f>
        <v>0</v>
      </c>
      <c r="K268" s="70">
        <f t="shared" ca="1" si="91"/>
        <v>0</v>
      </c>
      <c r="L268" s="70">
        <f ca="1">IF(K268&gt;0,入力設定!$B$9,0)</f>
        <v>0</v>
      </c>
      <c r="M268" s="70">
        <f t="shared" ca="1" si="92"/>
        <v>13152869.528584886</v>
      </c>
      <c r="N268" s="70">
        <f ca="1">IF(M268+AA268&lt;0.000001,0,IF(AND(K268&gt;0,入力設定!$B$8="期間短縮型",AA268&lt;0.000001,F268&gt;M268*C268/12),MAX(1,MIN(E268-1,IF(C268=0,ROUNDUP(M268/F268,0),ROUNDUP(-LN(1-M268*(C268/12)/F268)/LN(1+C268/12),0)))),MAX(1,E268-1)))</f>
        <v>117</v>
      </c>
      <c r="O268" s="70">
        <f t="shared" ca="1" si="93"/>
        <v>142266.59803560167</v>
      </c>
      <c r="P268" s="70">
        <f t="shared" ca="1" si="107"/>
        <v>17363786.840305533</v>
      </c>
      <c r="Q268" s="70">
        <f ca="1">IF(OR(A268&gt;入力設定!$B$6*12,P268+AC268&lt;0.000001),0,IF(P268&lt;0.000001,Q267,IF(AE268=1,IF(C268=0,P268/MAX(1,入力設定!$B$6*12-A268+1),P268*(C268/12)/(1-(1+C268/12)^(-MAX(1,入力設定!$B$6*12-A268+1)))),Q267)))</f>
        <v>150233.43899513036</v>
      </c>
      <c r="R268" s="70">
        <f ca="1">IF(P268+AC268&lt;0.000001,0,IF(A268=入力設定!$B$6*12,P268+AB268+AC268,MIN(Q268,P268+AB268+AC268)))</f>
        <v>150233.43899513036</v>
      </c>
      <c r="S268" s="70">
        <f t="shared" ca="1" si="94"/>
        <v>72349.111834606389</v>
      </c>
      <c r="T268" s="70">
        <f t="shared" ca="1" si="95"/>
        <v>77884.327160523972</v>
      </c>
      <c r="U268" s="70">
        <f t="shared" ca="1" si="96"/>
        <v>17285902.513145011</v>
      </c>
      <c r="V268" s="70">
        <f t="shared" ca="1" si="97"/>
        <v>0</v>
      </c>
      <c r="W268" s="70">
        <f t="shared" ca="1" si="98"/>
        <v>0</v>
      </c>
      <c r="X268" s="70">
        <f t="shared" ca="1" si="99"/>
        <v>0</v>
      </c>
      <c r="Y268" s="71">
        <f t="shared" ca="1" si="100"/>
        <v>55166.539944483353</v>
      </c>
      <c r="Z268" s="71">
        <f t="shared" ca="1" si="108"/>
        <v>0</v>
      </c>
      <c r="AA268" s="71">
        <f t="shared" ca="1" si="101"/>
        <v>0</v>
      </c>
      <c r="AB268" s="71">
        <f t="shared" ca="1" si="102"/>
        <v>72349.111834606389</v>
      </c>
      <c r="AC268" s="71">
        <f t="shared" ca="1" si="109"/>
        <v>0</v>
      </c>
      <c r="AD268" s="71">
        <f t="shared" ca="1" si="103"/>
        <v>0</v>
      </c>
      <c r="AE268" s="72">
        <f t="shared" si="104"/>
        <v>0</v>
      </c>
      <c r="AF268" s="73">
        <f>IF(A268&gt;入力設定!$B$6*12,0,IF(AND(ISNUMBER(C268),C268&gt;=0,C268&lt;=1),0,1))</f>
        <v>0</v>
      </c>
    </row>
    <row r="269" spans="1:32" ht="21" customHeight="1">
      <c r="A269" s="68">
        <f>264</f>
        <v>264</v>
      </c>
      <c r="B269" s="69">
        <f>EDATE(入力設定!$B$7,A269-1)</f>
        <v>54332</v>
      </c>
      <c r="C269" s="80">
        <f>INDEX(入力設定!$C$15:$C$24,INT((A269-1)/60)+1)</f>
        <v>0.05</v>
      </c>
      <c r="D269" s="70">
        <f t="shared" ca="1" si="105"/>
        <v>13152869.528584886</v>
      </c>
      <c r="E269" s="70">
        <f t="shared" ca="1" si="106"/>
        <v>117</v>
      </c>
      <c r="F269" s="70">
        <f ca="1">IF(D269+Z269&lt;0.000001,0,IF(D269&lt;0.000001,F268,IF(OR(AE269=1,AND(K268&gt;0,入力設定!$B$8="返済額軽減型",入力設定!$B$11="翌月")),IF(C269=0,D269/MAX(1,E269),D269*(C269/12)/(1-(1+C269/12)^(-MAX(1,E269)))),F268)))</f>
        <v>142266.59803560167</v>
      </c>
      <c r="G269" s="70">
        <f t="shared" ca="1" si="88"/>
        <v>142266.59803560167</v>
      </c>
      <c r="H269" s="70">
        <f t="shared" ca="1" si="89"/>
        <v>54803.623035770368</v>
      </c>
      <c r="I269" s="70">
        <f t="shared" ca="1" si="90"/>
        <v>87462.974999831291</v>
      </c>
      <c r="J269" s="70">
        <f>SUMIFS(入力設定!$G$5:$G$24,入力設定!$F$5:$F$24,A269)</f>
        <v>0</v>
      </c>
      <c r="K269" s="70">
        <f t="shared" ca="1" si="91"/>
        <v>0</v>
      </c>
      <c r="L269" s="70">
        <f ca="1">IF(K269&gt;0,入力設定!$B$9,0)</f>
        <v>0</v>
      </c>
      <c r="M269" s="70">
        <f t="shared" ca="1" si="92"/>
        <v>13065406.553585054</v>
      </c>
      <c r="N269" s="70">
        <f ca="1">IF(M269+AA269&lt;0.000001,0,IF(AND(K269&gt;0,入力設定!$B$8="期間短縮型",AA269&lt;0.000001,F269&gt;M269*C269/12),MAX(1,MIN(E269-1,IF(C269=0,ROUNDUP(M269/F269,0),ROUNDUP(-LN(1-M269*(C269/12)/F269)/LN(1+C269/12),0)))),MAX(1,E269-1)))</f>
        <v>116</v>
      </c>
      <c r="O269" s="70">
        <f t="shared" ca="1" si="93"/>
        <v>142266.59803560167</v>
      </c>
      <c r="P269" s="70">
        <f t="shared" ca="1" si="107"/>
        <v>17285902.513145011</v>
      </c>
      <c r="Q269" s="70">
        <f ca="1">IF(OR(A269&gt;入力設定!$B$6*12,P269+AC269&lt;0.000001),0,IF(P269&lt;0.000001,Q268,IF(AE269=1,IF(C269=0,P269/MAX(1,入力設定!$B$6*12-A269+1),P269*(C269/12)/(1-(1+C269/12)^(-MAX(1,入力設定!$B$6*12-A269+1)))),Q268)))</f>
        <v>150233.43899513036</v>
      </c>
      <c r="R269" s="70">
        <f ca="1">IF(P269+AC269&lt;0.000001,0,IF(A269=入力設定!$B$6*12,P269+AB269+AC269,MIN(Q269,P269+AB269+AC269)))</f>
        <v>150233.43899513036</v>
      </c>
      <c r="S269" s="70">
        <f t="shared" ca="1" si="94"/>
        <v>72024.593804770891</v>
      </c>
      <c r="T269" s="70">
        <f t="shared" ca="1" si="95"/>
        <v>78208.845190359469</v>
      </c>
      <c r="U269" s="70">
        <f t="shared" ca="1" si="96"/>
        <v>17207693.66795465</v>
      </c>
      <c r="V269" s="70">
        <f t="shared" ca="1" si="97"/>
        <v>0</v>
      </c>
      <c r="W269" s="70">
        <f t="shared" ca="1" si="98"/>
        <v>0</v>
      </c>
      <c r="X269" s="70">
        <f t="shared" ca="1" si="99"/>
        <v>0</v>
      </c>
      <c r="Y269" s="71">
        <f t="shared" ca="1" si="100"/>
        <v>54803.623035770368</v>
      </c>
      <c r="Z269" s="71">
        <f t="shared" ca="1" si="108"/>
        <v>0</v>
      </c>
      <c r="AA269" s="71">
        <f t="shared" ca="1" si="101"/>
        <v>0</v>
      </c>
      <c r="AB269" s="71">
        <f t="shared" ca="1" si="102"/>
        <v>72024.593804770891</v>
      </c>
      <c r="AC269" s="71">
        <f t="shared" ca="1" si="109"/>
        <v>0</v>
      </c>
      <c r="AD269" s="71">
        <f t="shared" ca="1" si="103"/>
        <v>0</v>
      </c>
      <c r="AE269" s="72">
        <f t="shared" si="104"/>
        <v>0</v>
      </c>
      <c r="AF269" s="73">
        <f>IF(A269&gt;入力設定!$B$6*12,0,IF(AND(ISNUMBER(C269),C269&gt;=0,C269&lt;=1),0,1))</f>
        <v>0</v>
      </c>
    </row>
    <row r="270" spans="1:32" ht="21" customHeight="1">
      <c r="A270" s="68">
        <f>265</f>
        <v>265</v>
      </c>
      <c r="B270" s="69">
        <f>EDATE(入力設定!$B$7,A270-1)</f>
        <v>54363</v>
      </c>
      <c r="C270" s="80">
        <f>INDEX(入力設定!$C$15:$C$24,INT((A270-1)/60)+1)</f>
        <v>0.05</v>
      </c>
      <c r="D270" s="70">
        <f t="shared" ca="1" si="105"/>
        <v>13065406.553585054</v>
      </c>
      <c r="E270" s="70">
        <f t="shared" ca="1" si="106"/>
        <v>116</v>
      </c>
      <c r="F270" s="70">
        <f ca="1">IF(D270+Z270&lt;0.000001,0,IF(D270&lt;0.000001,F269,IF(OR(AE270=1,AND(K269&gt;0,入力設定!$B$8="返済額軽減型",入力設定!$B$11="翌月")),IF(C270=0,D270/MAX(1,E270),D270*(C270/12)/(1-(1+C270/12)^(-MAX(1,E270)))),F269)))</f>
        <v>142266.59803560167</v>
      </c>
      <c r="G270" s="70">
        <f t="shared" ca="1" si="88"/>
        <v>142266.59803560167</v>
      </c>
      <c r="H270" s="70">
        <f t="shared" ca="1" si="89"/>
        <v>54439.19397327106</v>
      </c>
      <c r="I270" s="70">
        <f t="shared" ca="1" si="90"/>
        <v>87827.404062330606</v>
      </c>
      <c r="J270" s="70">
        <f>SUMIFS(入力設定!$G$5:$G$24,入力設定!$F$5:$F$24,A270)</f>
        <v>0</v>
      </c>
      <c r="K270" s="70">
        <f t="shared" ca="1" si="91"/>
        <v>0</v>
      </c>
      <c r="L270" s="70">
        <f ca="1">IF(K270&gt;0,入力設定!$B$9,0)</f>
        <v>0</v>
      </c>
      <c r="M270" s="70">
        <f t="shared" ca="1" si="92"/>
        <v>12977579.149522724</v>
      </c>
      <c r="N270" s="70">
        <f ca="1">IF(M270+AA270&lt;0.000001,0,IF(AND(K270&gt;0,入力設定!$B$8="期間短縮型",AA270&lt;0.000001,F270&gt;M270*C270/12),MAX(1,MIN(E270-1,IF(C270=0,ROUNDUP(M270/F270,0),ROUNDUP(-LN(1-M270*(C270/12)/F270)/LN(1+C270/12),0)))),MAX(1,E270-1)))</f>
        <v>115</v>
      </c>
      <c r="O270" s="70">
        <f t="shared" ca="1" si="93"/>
        <v>142266.59803560167</v>
      </c>
      <c r="P270" s="70">
        <f t="shared" ca="1" si="107"/>
        <v>17207693.66795465</v>
      </c>
      <c r="Q270" s="70">
        <f ca="1">IF(OR(A270&gt;入力設定!$B$6*12,P270+AC270&lt;0.000001),0,IF(P270&lt;0.000001,Q269,IF(AE270=1,IF(C270=0,P270/MAX(1,入力設定!$B$6*12-A270+1),P270*(C270/12)/(1-(1+C270/12)^(-MAX(1,入力設定!$B$6*12-A270+1)))),Q269)))</f>
        <v>150233.43899513036</v>
      </c>
      <c r="R270" s="70">
        <f ca="1">IF(P270+AC270&lt;0.000001,0,IF(A270=入力設定!$B$6*12,P270+AB270+AC270,MIN(Q270,P270+AB270+AC270)))</f>
        <v>150233.43899513036</v>
      </c>
      <c r="S270" s="70">
        <f t="shared" ca="1" si="94"/>
        <v>71698.723616477713</v>
      </c>
      <c r="T270" s="70">
        <f t="shared" ca="1" si="95"/>
        <v>78534.715378652647</v>
      </c>
      <c r="U270" s="70">
        <f t="shared" ca="1" si="96"/>
        <v>17129158.952575997</v>
      </c>
      <c r="V270" s="70">
        <f t="shared" ca="1" si="97"/>
        <v>0</v>
      </c>
      <c r="W270" s="70">
        <f t="shared" ca="1" si="98"/>
        <v>0</v>
      </c>
      <c r="X270" s="70">
        <f t="shared" ca="1" si="99"/>
        <v>0</v>
      </c>
      <c r="Y270" s="71">
        <f t="shared" ca="1" si="100"/>
        <v>54439.19397327106</v>
      </c>
      <c r="Z270" s="71">
        <f t="shared" ca="1" si="108"/>
        <v>0</v>
      </c>
      <c r="AA270" s="71">
        <f t="shared" ca="1" si="101"/>
        <v>0</v>
      </c>
      <c r="AB270" s="71">
        <f t="shared" ca="1" si="102"/>
        <v>71698.723616477713</v>
      </c>
      <c r="AC270" s="71">
        <f t="shared" ca="1" si="109"/>
        <v>0</v>
      </c>
      <c r="AD270" s="71">
        <f t="shared" ca="1" si="103"/>
        <v>0</v>
      </c>
      <c r="AE270" s="72">
        <f t="shared" si="104"/>
        <v>0</v>
      </c>
      <c r="AF270" s="73">
        <f>IF(A270&gt;入力設定!$B$6*12,0,IF(AND(ISNUMBER(C270),C270&gt;=0,C270&lt;=1),0,1))</f>
        <v>0</v>
      </c>
    </row>
    <row r="271" spans="1:32" ht="21" customHeight="1">
      <c r="A271" s="68">
        <f>266</f>
        <v>266</v>
      </c>
      <c r="B271" s="69">
        <f>EDATE(入力設定!$B$7,A271-1)</f>
        <v>54393</v>
      </c>
      <c r="C271" s="80">
        <f>INDEX(入力設定!$C$15:$C$24,INT((A271-1)/60)+1)</f>
        <v>0.05</v>
      </c>
      <c r="D271" s="70">
        <f t="shared" ca="1" si="105"/>
        <v>12977579.149522724</v>
      </c>
      <c r="E271" s="70">
        <f t="shared" ca="1" si="106"/>
        <v>115</v>
      </c>
      <c r="F271" s="70">
        <f ca="1">IF(D271+Z271&lt;0.000001,0,IF(D271&lt;0.000001,F270,IF(OR(AE271=1,AND(K270&gt;0,入力設定!$B$8="返済額軽減型",入力設定!$B$11="翌月")),IF(C271=0,D271/MAX(1,E271),D271*(C271/12)/(1-(1+C271/12)^(-MAX(1,E271)))),F270)))</f>
        <v>142266.59803560167</v>
      </c>
      <c r="G271" s="70">
        <f t="shared" ca="1" si="88"/>
        <v>142266.59803560167</v>
      </c>
      <c r="H271" s="70">
        <f t="shared" ca="1" si="89"/>
        <v>54073.246456344692</v>
      </c>
      <c r="I271" s="70">
        <f t="shared" ca="1" si="90"/>
        <v>88193.351579256967</v>
      </c>
      <c r="J271" s="70">
        <f>SUMIFS(入力設定!$G$5:$G$24,入力設定!$F$5:$F$24,A271)</f>
        <v>0</v>
      </c>
      <c r="K271" s="70">
        <f t="shared" ca="1" si="91"/>
        <v>0</v>
      </c>
      <c r="L271" s="70">
        <f ca="1">IF(K271&gt;0,入力設定!$B$9,0)</f>
        <v>0</v>
      </c>
      <c r="M271" s="70">
        <f t="shared" ca="1" si="92"/>
        <v>12889385.797943467</v>
      </c>
      <c r="N271" s="70">
        <f ca="1">IF(M271+AA271&lt;0.000001,0,IF(AND(K271&gt;0,入力設定!$B$8="期間短縮型",AA271&lt;0.000001,F271&gt;M271*C271/12),MAX(1,MIN(E271-1,IF(C271=0,ROUNDUP(M271/F271,0),ROUNDUP(-LN(1-M271*(C271/12)/F271)/LN(1+C271/12),0)))),MAX(1,E271-1)))</f>
        <v>114</v>
      </c>
      <c r="O271" s="70">
        <f t="shared" ca="1" si="93"/>
        <v>142266.59803560167</v>
      </c>
      <c r="P271" s="70">
        <f t="shared" ca="1" si="107"/>
        <v>17129158.952575997</v>
      </c>
      <c r="Q271" s="70">
        <f ca="1">IF(OR(A271&gt;入力設定!$B$6*12,P271+AC271&lt;0.000001),0,IF(P271&lt;0.000001,Q270,IF(AE271=1,IF(C271=0,P271/MAX(1,入力設定!$B$6*12-A271+1),P271*(C271/12)/(1-(1+C271/12)^(-MAX(1,入力設定!$B$6*12-A271+1)))),Q270)))</f>
        <v>150233.43899513036</v>
      </c>
      <c r="R271" s="70">
        <f ca="1">IF(P271+AC271&lt;0.000001,0,IF(A271=入力設定!$B$6*12,P271+AB271+AC271,MIN(Q271,P271+AB271+AC271)))</f>
        <v>150233.43899513036</v>
      </c>
      <c r="S271" s="70">
        <f t="shared" ca="1" si="94"/>
        <v>71371.495635733314</v>
      </c>
      <c r="T271" s="70">
        <f t="shared" ca="1" si="95"/>
        <v>78861.943359397046</v>
      </c>
      <c r="U271" s="70">
        <f t="shared" ca="1" si="96"/>
        <v>17050297.009216599</v>
      </c>
      <c r="V271" s="70">
        <f t="shared" ca="1" si="97"/>
        <v>0</v>
      </c>
      <c r="W271" s="70">
        <f t="shared" ca="1" si="98"/>
        <v>0</v>
      </c>
      <c r="X271" s="70">
        <f t="shared" ca="1" si="99"/>
        <v>0</v>
      </c>
      <c r="Y271" s="71">
        <f t="shared" ca="1" si="100"/>
        <v>54073.246456344692</v>
      </c>
      <c r="Z271" s="71">
        <f t="shared" ca="1" si="108"/>
        <v>0</v>
      </c>
      <c r="AA271" s="71">
        <f t="shared" ca="1" si="101"/>
        <v>0</v>
      </c>
      <c r="AB271" s="71">
        <f t="shared" ca="1" si="102"/>
        <v>71371.495635733314</v>
      </c>
      <c r="AC271" s="71">
        <f t="shared" ca="1" si="109"/>
        <v>0</v>
      </c>
      <c r="AD271" s="71">
        <f t="shared" ca="1" si="103"/>
        <v>0</v>
      </c>
      <c r="AE271" s="72">
        <f t="shared" si="104"/>
        <v>0</v>
      </c>
      <c r="AF271" s="73">
        <f>IF(A271&gt;入力設定!$B$6*12,0,IF(AND(ISNUMBER(C271),C271&gt;=0,C271&lt;=1),0,1))</f>
        <v>0</v>
      </c>
    </row>
    <row r="272" spans="1:32" ht="21" customHeight="1">
      <c r="A272" s="68">
        <f>267</f>
        <v>267</v>
      </c>
      <c r="B272" s="69">
        <f>EDATE(入力設定!$B$7,A272-1)</f>
        <v>54424</v>
      </c>
      <c r="C272" s="80">
        <f>INDEX(入力設定!$C$15:$C$24,INT((A272-1)/60)+1)</f>
        <v>0.05</v>
      </c>
      <c r="D272" s="70">
        <f t="shared" ca="1" si="105"/>
        <v>12889385.797943467</v>
      </c>
      <c r="E272" s="70">
        <f t="shared" ca="1" si="106"/>
        <v>114</v>
      </c>
      <c r="F272" s="70">
        <f ca="1">IF(D272+Z272&lt;0.000001,0,IF(D272&lt;0.000001,F271,IF(OR(AE272=1,AND(K271&gt;0,入力設定!$B$8="返済額軽減型",入力設定!$B$11="翌月")),IF(C272=0,D272/MAX(1,E272),D272*(C272/12)/(1-(1+C272/12)^(-MAX(1,E272)))),F271)))</f>
        <v>142266.59803560167</v>
      </c>
      <c r="G272" s="70">
        <f t="shared" ca="1" si="88"/>
        <v>142266.59803560167</v>
      </c>
      <c r="H272" s="70">
        <f t="shared" ca="1" si="89"/>
        <v>53705.774158097782</v>
      </c>
      <c r="I272" s="70">
        <f t="shared" ca="1" si="90"/>
        <v>88560.823877503892</v>
      </c>
      <c r="J272" s="70">
        <f>SUMIFS(入力設定!$G$5:$G$24,入力設定!$F$5:$F$24,A272)</f>
        <v>0</v>
      </c>
      <c r="K272" s="70">
        <f t="shared" ca="1" si="91"/>
        <v>0</v>
      </c>
      <c r="L272" s="70">
        <f ca="1">IF(K272&gt;0,入力設定!$B$9,0)</f>
        <v>0</v>
      </c>
      <c r="M272" s="70">
        <f t="shared" ca="1" si="92"/>
        <v>12800824.974065963</v>
      </c>
      <c r="N272" s="70">
        <f ca="1">IF(M272+AA272&lt;0.000001,0,IF(AND(K272&gt;0,入力設定!$B$8="期間短縮型",AA272&lt;0.000001,F272&gt;M272*C272/12),MAX(1,MIN(E272-1,IF(C272=0,ROUNDUP(M272/F272,0),ROUNDUP(-LN(1-M272*(C272/12)/F272)/LN(1+C272/12),0)))),MAX(1,E272-1)))</f>
        <v>113</v>
      </c>
      <c r="O272" s="70">
        <f t="shared" ca="1" si="93"/>
        <v>142266.59803560167</v>
      </c>
      <c r="P272" s="70">
        <f t="shared" ca="1" si="107"/>
        <v>17050297.009216599</v>
      </c>
      <c r="Q272" s="70">
        <f ca="1">IF(OR(A272&gt;入力設定!$B$6*12,P272+AC272&lt;0.000001),0,IF(P272&lt;0.000001,Q271,IF(AE272=1,IF(C272=0,P272/MAX(1,入力設定!$B$6*12-A272+1),P272*(C272/12)/(1-(1+C272/12)^(-MAX(1,入力設定!$B$6*12-A272+1)))),Q271)))</f>
        <v>150233.43899513036</v>
      </c>
      <c r="R272" s="70">
        <f ca="1">IF(P272+AC272&lt;0.000001,0,IF(A272=入力設定!$B$6*12,P272+AB272+AC272,MIN(Q272,P272+AB272+AC272)))</f>
        <v>150233.43899513036</v>
      </c>
      <c r="S272" s="70">
        <f t="shared" ca="1" si="94"/>
        <v>71042.904205069164</v>
      </c>
      <c r="T272" s="70">
        <f t="shared" ca="1" si="95"/>
        <v>79190.534790061196</v>
      </c>
      <c r="U272" s="70">
        <f t="shared" ca="1" si="96"/>
        <v>16971106.474426538</v>
      </c>
      <c r="V272" s="70">
        <f t="shared" ca="1" si="97"/>
        <v>0</v>
      </c>
      <c r="W272" s="70">
        <f t="shared" ca="1" si="98"/>
        <v>0</v>
      </c>
      <c r="X272" s="70">
        <f t="shared" ca="1" si="99"/>
        <v>0</v>
      </c>
      <c r="Y272" s="71">
        <f t="shared" ca="1" si="100"/>
        <v>53705.774158097782</v>
      </c>
      <c r="Z272" s="71">
        <f t="shared" ca="1" si="108"/>
        <v>0</v>
      </c>
      <c r="AA272" s="71">
        <f t="shared" ca="1" si="101"/>
        <v>0</v>
      </c>
      <c r="AB272" s="71">
        <f t="shared" ca="1" si="102"/>
        <v>71042.904205069164</v>
      </c>
      <c r="AC272" s="71">
        <f t="shared" ca="1" si="109"/>
        <v>0</v>
      </c>
      <c r="AD272" s="71">
        <f t="shared" ca="1" si="103"/>
        <v>0</v>
      </c>
      <c r="AE272" s="72">
        <f t="shared" si="104"/>
        <v>0</v>
      </c>
      <c r="AF272" s="73">
        <f>IF(A272&gt;入力設定!$B$6*12,0,IF(AND(ISNUMBER(C272),C272&gt;=0,C272&lt;=1),0,1))</f>
        <v>0</v>
      </c>
    </row>
    <row r="273" spans="1:32" ht="21" customHeight="1">
      <c r="A273" s="68">
        <f>268</f>
        <v>268</v>
      </c>
      <c r="B273" s="69">
        <f>EDATE(入力設定!$B$7,A273-1)</f>
        <v>54455</v>
      </c>
      <c r="C273" s="80">
        <f>INDEX(入力設定!$C$15:$C$24,INT((A273-1)/60)+1)</f>
        <v>0.05</v>
      </c>
      <c r="D273" s="70">
        <f t="shared" ca="1" si="105"/>
        <v>12800824.974065963</v>
      </c>
      <c r="E273" s="70">
        <f t="shared" ca="1" si="106"/>
        <v>113</v>
      </c>
      <c r="F273" s="70">
        <f ca="1">IF(D273+Z273&lt;0.000001,0,IF(D273&lt;0.000001,F272,IF(OR(AE273=1,AND(K272&gt;0,入力設定!$B$8="返済額軽減型",入力設定!$B$11="翌月")),IF(C273=0,D273/MAX(1,E273),D273*(C273/12)/(1-(1+C273/12)^(-MAX(1,E273)))),F272)))</f>
        <v>142266.59803560167</v>
      </c>
      <c r="G273" s="70">
        <f t="shared" ca="1" si="88"/>
        <v>142266.59803560167</v>
      </c>
      <c r="H273" s="70">
        <f t="shared" ca="1" si="89"/>
        <v>53336.770725274844</v>
      </c>
      <c r="I273" s="70">
        <f t="shared" ca="1" si="90"/>
        <v>88929.827310326829</v>
      </c>
      <c r="J273" s="70">
        <f>SUMIFS(入力設定!$G$5:$G$24,入力設定!$F$5:$F$24,A273)</f>
        <v>0</v>
      </c>
      <c r="K273" s="70">
        <f t="shared" ca="1" si="91"/>
        <v>0</v>
      </c>
      <c r="L273" s="70">
        <f ca="1">IF(K273&gt;0,入力設定!$B$9,0)</f>
        <v>0</v>
      </c>
      <c r="M273" s="70">
        <f t="shared" ca="1" si="92"/>
        <v>12711895.146755636</v>
      </c>
      <c r="N273" s="70">
        <f ca="1">IF(M273+AA273&lt;0.000001,0,IF(AND(K273&gt;0,入力設定!$B$8="期間短縮型",AA273&lt;0.000001,F273&gt;M273*C273/12),MAX(1,MIN(E273-1,IF(C273=0,ROUNDUP(M273/F273,0),ROUNDUP(-LN(1-M273*(C273/12)/F273)/LN(1+C273/12),0)))),MAX(1,E273-1)))</f>
        <v>112</v>
      </c>
      <c r="O273" s="70">
        <f t="shared" ca="1" si="93"/>
        <v>142266.59803560167</v>
      </c>
      <c r="P273" s="70">
        <f t="shared" ca="1" si="107"/>
        <v>16971106.474426538</v>
      </c>
      <c r="Q273" s="70">
        <f ca="1">IF(OR(A273&gt;入力設定!$B$6*12,P273+AC273&lt;0.000001),0,IF(P273&lt;0.000001,Q272,IF(AE273=1,IF(C273=0,P273/MAX(1,入力設定!$B$6*12-A273+1),P273*(C273/12)/(1-(1+C273/12)^(-MAX(1,入力設定!$B$6*12-A273+1)))),Q272)))</f>
        <v>150233.43899513036</v>
      </c>
      <c r="R273" s="70">
        <f ca="1">IF(P273+AC273&lt;0.000001,0,IF(A273=入力設定!$B$6*12,P273+AB273+AC273,MIN(Q273,P273+AB273+AC273)))</f>
        <v>150233.43899513036</v>
      </c>
      <c r="S273" s="70">
        <f t="shared" ca="1" si="94"/>
        <v>70712.943643443912</v>
      </c>
      <c r="T273" s="70">
        <f t="shared" ca="1" si="95"/>
        <v>79520.495351686448</v>
      </c>
      <c r="U273" s="70">
        <f t="shared" ca="1" si="96"/>
        <v>16891585.979074851</v>
      </c>
      <c r="V273" s="70">
        <f t="shared" ca="1" si="97"/>
        <v>0</v>
      </c>
      <c r="W273" s="70">
        <f t="shared" ca="1" si="98"/>
        <v>0</v>
      </c>
      <c r="X273" s="70">
        <f t="shared" ca="1" si="99"/>
        <v>0</v>
      </c>
      <c r="Y273" s="71">
        <f t="shared" ca="1" si="100"/>
        <v>53336.770725274844</v>
      </c>
      <c r="Z273" s="71">
        <f t="shared" ca="1" si="108"/>
        <v>0</v>
      </c>
      <c r="AA273" s="71">
        <f t="shared" ca="1" si="101"/>
        <v>0</v>
      </c>
      <c r="AB273" s="71">
        <f t="shared" ca="1" si="102"/>
        <v>70712.943643443912</v>
      </c>
      <c r="AC273" s="71">
        <f t="shared" ca="1" si="109"/>
        <v>0</v>
      </c>
      <c r="AD273" s="71">
        <f t="shared" ca="1" si="103"/>
        <v>0</v>
      </c>
      <c r="AE273" s="72">
        <f t="shared" si="104"/>
        <v>0</v>
      </c>
      <c r="AF273" s="73">
        <f>IF(A273&gt;入力設定!$B$6*12,0,IF(AND(ISNUMBER(C273),C273&gt;=0,C273&lt;=1),0,1))</f>
        <v>0</v>
      </c>
    </row>
    <row r="274" spans="1:32" ht="21" customHeight="1">
      <c r="A274" s="68">
        <f>269</f>
        <v>269</v>
      </c>
      <c r="B274" s="69">
        <f>EDATE(入力設定!$B$7,A274-1)</f>
        <v>54483</v>
      </c>
      <c r="C274" s="80">
        <f>INDEX(入力設定!$C$15:$C$24,INT((A274-1)/60)+1)</f>
        <v>0.05</v>
      </c>
      <c r="D274" s="70">
        <f t="shared" ca="1" si="105"/>
        <v>12711895.146755636</v>
      </c>
      <c r="E274" s="70">
        <f t="shared" ca="1" si="106"/>
        <v>112</v>
      </c>
      <c r="F274" s="70">
        <f ca="1">IF(D274+Z274&lt;0.000001,0,IF(D274&lt;0.000001,F273,IF(OR(AE274=1,AND(K273&gt;0,入力設定!$B$8="返済額軽減型",入力設定!$B$11="翌月")),IF(C274=0,D274/MAX(1,E274),D274*(C274/12)/(1-(1+C274/12)^(-MAX(1,E274)))),F273)))</f>
        <v>142266.59803560167</v>
      </c>
      <c r="G274" s="70">
        <f t="shared" ca="1" si="88"/>
        <v>142266.59803560167</v>
      </c>
      <c r="H274" s="70">
        <f t="shared" ca="1" si="89"/>
        <v>52966.229778148489</v>
      </c>
      <c r="I274" s="70">
        <f t="shared" ca="1" si="90"/>
        <v>89300.36825745317</v>
      </c>
      <c r="J274" s="70">
        <f>SUMIFS(入力設定!$G$5:$G$24,入力設定!$F$5:$F$24,A274)</f>
        <v>0</v>
      </c>
      <c r="K274" s="70">
        <f t="shared" ca="1" si="91"/>
        <v>0</v>
      </c>
      <c r="L274" s="70">
        <f ca="1">IF(K274&gt;0,入力設定!$B$9,0)</f>
        <v>0</v>
      </c>
      <c r="M274" s="70">
        <f t="shared" ca="1" si="92"/>
        <v>12622594.778498182</v>
      </c>
      <c r="N274" s="70">
        <f ca="1">IF(M274+AA274&lt;0.000001,0,IF(AND(K274&gt;0,入力設定!$B$8="期間短縮型",AA274&lt;0.000001,F274&gt;M274*C274/12),MAX(1,MIN(E274-1,IF(C274=0,ROUNDUP(M274/F274,0),ROUNDUP(-LN(1-M274*(C274/12)/F274)/LN(1+C274/12),0)))),MAX(1,E274-1)))</f>
        <v>111</v>
      </c>
      <c r="O274" s="70">
        <f t="shared" ca="1" si="93"/>
        <v>142266.59803560167</v>
      </c>
      <c r="P274" s="70">
        <f t="shared" ca="1" si="107"/>
        <v>16891585.979074851</v>
      </c>
      <c r="Q274" s="70">
        <f ca="1">IF(OR(A274&gt;入力設定!$B$6*12,P274+AC274&lt;0.000001),0,IF(P274&lt;0.000001,Q273,IF(AE274=1,IF(C274=0,P274/MAX(1,入力設定!$B$6*12-A274+1),P274*(C274/12)/(1-(1+C274/12)^(-MAX(1,入力設定!$B$6*12-A274+1)))),Q273)))</f>
        <v>150233.43899513036</v>
      </c>
      <c r="R274" s="70">
        <f ca="1">IF(P274+AC274&lt;0.000001,0,IF(A274=入力設定!$B$6*12,P274+AB274+AC274,MIN(Q274,P274+AB274+AC274)))</f>
        <v>150233.43899513036</v>
      </c>
      <c r="S274" s="70">
        <f t="shared" ca="1" si="94"/>
        <v>70381.608246145217</v>
      </c>
      <c r="T274" s="70">
        <f t="shared" ca="1" si="95"/>
        <v>79851.830748985143</v>
      </c>
      <c r="U274" s="70">
        <f t="shared" ca="1" si="96"/>
        <v>16811734.148325864</v>
      </c>
      <c r="V274" s="70">
        <f t="shared" ca="1" si="97"/>
        <v>0</v>
      </c>
      <c r="W274" s="70">
        <f t="shared" ca="1" si="98"/>
        <v>0</v>
      </c>
      <c r="X274" s="70">
        <f t="shared" ca="1" si="99"/>
        <v>0</v>
      </c>
      <c r="Y274" s="71">
        <f t="shared" ca="1" si="100"/>
        <v>52966.229778148489</v>
      </c>
      <c r="Z274" s="71">
        <f t="shared" ca="1" si="108"/>
        <v>0</v>
      </c>
      <c r="AA274" s="71">
        <f t="shared" ca="1" si="101"/>
        <v>0</v>
      </c>
      <c r="AB274" s="71">
        <f t="shared" ca="1" si="102"/>
        <v>70381.608246145217</v>
      </c>
      <c r="AC274" s="71">
        <f t="shared" ca="1" si="109"/>
        <v>0</v>
      </c>
      <c r="AD274" s="71">
        <f t="shared" ca="1" si="103"/>
        <v>0</v>
      </c>
      <c r="AE274" s="72">
        <f t="shared" si="104"/>
        <v>0</v>
      </c>
      <c r="AF274" s="73">
        <f>IF(A274&gt;入力設定!$B$6*12,0,IF(AND(ISNUMBER(C274),C274&gt;=0,C274&lt;=1),0,1))</f>
        <v>0</v>
      </c>
    </row>
    <row r="275" spans="1:32" ht="21" customHeight="1">
      <c r="A275" s="68">
        <f>270</f>
        <v>270</v>
      </c>
      <c r="B275" s="69">
        <f>EDATE(入力設定!$B$7,A275-1)</f>
        <v>54514</v>
      </c>
      <c r="C275" s="80">
        <f>INDEX(入力設定!$C$15:$C$24,INT((A275-1)/60)+1)</f>
        <v>0.05</v>
      </c>
      <c r="D275" s="70">
        <f t="shared" ca="1" si="105"/>
        <v>12622594.778498182</v>
      </c>
      <c r="E275" s="70">
        <f t="shared" ca="1" si="106"/>
        <v>111</v>
      </c>
      <c r="F275" s="70">
        <f ca="1">IF(D275+Z275&lt;0.000001,0,IF(D275&lt;0.000001,F274,IF(OR(AE275=1,AND(K274&gt;0,入力設定!$B$8="返済額軽減型",入力設定!$B$11="翌月")),IF(C275=0,D275/MAX(1,E275),D275*(C275/12)/(1-(1+C275/12)^(-MAX(1,E275)))),F274)))</f>
        <v>142266.59803560167</v>
      </c>
      <c r="G275" s="70">
        <f t="shared" ca="1" si="88"/>
        <v>142266.59803560167</v>
      </c>
      <c r="H275" s="70">
        <f t="shared" ca="1" si="89"/>
        <v>52594.144910409093</v>
      </c>
      <c r="I275" s="70">
        <f t="shared" ca="1" si="90"/>
        <v>89672.45312519258</v>
      </c>
      <c r="J275" s="70">
        <f>SUMIFS(入力設定!$G$5:$G$24,入力設定!$F$5:$F$24,A275)</f>
        <v>0</v>
      </c>
      <c r="K275" s="70">
        <f t="shared" ca="1" si="91"/>
        <v>0</v>
      </c>
      <c r="L275" s="70">
        <f ca="1">IF(K275&gt;0,入力設定!$B$9,0)</f>
        <v>0</v>
      </c>
      <c r="M275" s="70">
        <f t="shared" ca="1" si="92"/>
        <v>12532922.32537299</v>
      </c>
      <c r="N275" s="70">
        <f ca="1">IF(M275+AA275&lt;0.000001,0,IF(AND(K275&gt;0,入力設定!$B$8="期間短縮型",AA275&lt;0.000001,F275&gt;M275*C275/12),MAX(1,MIN(E275-1,IF(C275=0,ROUNDUP(M275/F275,0),ROUNDUP(-LN(1-M275*(C275/12)/F275)/LN(1+C275/12),0)))),MAX(1,E275-1)))</f>
        <v>110</v>
      </c>
      <c r="O275" s="70">
        <f t="shared" ca="1" si="93"/>
        <v>142266.59803560167</v>
      </c>
      <c r="P275" s="70">
        <f t="shared" ca="1" si="107"/>
        <v>16811734.148325864</v>
      </c>
      <c r="Q275" s="70">
        <f ca="1">IF(OR(A275&gt;入力設定!$B$6*12,P275+AC275&lt;0.000001),0,IF(P275&lt;0.000001,Q274,IF(AE275=1,IF(C275=0,P275/MAX(1,入力設定!$B$6*12-A275+1),P275*(C275/12)/(1-(1+C275/12)^(-MAX(1,入力設定!$B$6*12-A275+1)))),Q274)))</f>
        <v>150233.43899513036</v>
      </c>
      <c r="R275" s="70">
        <f ca="1">IF(P275+AC275&lt;0.000001,0,IF(A275=入力設定!$B$6*12,P275+AB275+AC275,MIN(Q275,P275+AB275+AC275)))</f>
        <v>150233.43899513036</v>
      </c>
      <c r="S275" s="70">
        <f t="shared" ca="1" si="94"/>
        <v>70048.892284691101</v>
      </c>
      <c r="T275" s="70">
        <f t="shared" ca="1" si="95"/>
        <v>80184.546710439259</v>
      </c>
      <c r="U275" s="70">
        <f t="shared" ca="1" si="96"/>
        <v>16731549.601615425</v>
      </c>
      <c r="V275" s="70">
        <f t="shared" ca="1" si="97"/>
        <v>0</v>
      </c>
      <c r="W275" s="70">
        <f t="shared" ca="1" si="98"/>
        <v>0</v>
      </c>
      <c r="X275" s="70">
        <f t="shared" ca="1" si="99"/>
        <v>0</v>
      </c>
      <c r="Y275" s="71">
        <f t="shared" ca="1" si="100"/>
        <v>52594.144910409093</v>
      </c>
      <c r="Z275" s="71">
        <f t="shared" ca="1" si="108"/>
        <v>0</v>
      </c>
      <c r="AA275" s="71">
        <f t="shared" ca="1" si="101"/>
        <v>0</v>
      </c>
      <c r="AB275" s="71">
        <f t="shared" ca="1" si="102"/>
        <v>70048.892284691101</v>
      </c>
      <c r="AC275" s="71">
        <f t="shared" ca="1" si="109"/>
        <v>0</v>
      </c>
      <c r="AD275" s="71">
        <f t="shared" ca="1" si="103"/>
        <v>0</v>
      </c>
      <c r="AE275" s="72">
        <f t="shared" si="104"/>
        <v>0</v>
      </c>
      <c r="AF275" s="73">
        <f>IF(A275&gt;入力設定!$B$6*12,0,IF(AND(ISNUMBER(C275),C275&gt;=0,C275&lt;=1),0,1))</f>
        <v>0</v>
      </c>
    </row>
    <row r="276" spans="1:32" ht="21" customHeight="1">
      <c r="A276" s="68">
        <f>271</f>
        <v>271</v>
      </c>
      <c r="B276" s="69">
        <f>EDATE(入力設定!$B$7,A276-1)</f>
        <v>54544</v>
      </c>
      <c r="C276" s="80">
        <f>INDEX(入力設定!$C$15:$C$24,INT((A276-1)/60)+1)</f>
        <v>0.05</v>
      </c>
      <c r="D276" s="70">
        <f t="shared" ca="1" si="105"/>
        <v>12532922.32537299</v>
      </c>
      <c r="E276" s="70">
        <f t="shared" ca="1" si="106"/>
        <v>110</v>
      </c>
      <c r="F276" s="70">
        <f ca="1">IF(D276+Z276&lt;0.000001,0,IF(D276&lt;0.000001,F275,IF(OR(AE276=1,AND(K275&gt;0,入力設定!$B$8="返済額軽減型",入力設定!$B$11="翌月")),IF(C276=0,D276/MAX(1,E276),D276*(C276/12)/(1-(1+C276/12)^(-MAX(1,E276)))),F275)))</f>
        <v>142266.59803560167</v>
      </c>
      <c r="G276" s="70">
        <f t="shared" ca="1" si="88"/>
        <v>142266.59803560167</v>
      </c>
      <c r="H276" s="70">
        <f t="shared" ca="1" si="89"/>
        <v>52220.509689054132</v>
      </c>
      <c r="I276" s="70">
        <f t="shared" ca="1" si="90"/>
        <v>90046.088346547534</v>
      </c>
      <c r="J276" s="70">
        <f>SUMIFS(入力設定!$G$5:$G$24,入力設定!$F$5:$F$24,A276)</f>
        <v>0</v>
      </c>
      <c r="K276" s="70">
        <f t="shared" ca="1" si="91"/>
        <v>0</v>
      </c>
      <c r="L276" s="70">
        <f ca="1">IF(K276&gt;0,入力設定!$B$9,0)</f>
        <v>0</v>
      </c>
      <c r="M276" s="70">
        <f t="shared" ca="1" si="92"/>
        <v>12442876.237026442</v>
      </c>
      <c r="N276" s="70">
        <f ca="1">IF(M276+AA276&lt;0.000001,0,IF(AND(K276&gt;0,入力設定!$B$8="期間短縮型",AA276&lt;0.000001,F276&gt;M276*C276/12),MAX(1,MIN(E276-1,IF(C276=0,ROUNDUP(M276/F276,0),ROUNDUP(-LN(1-M276*(C276/12)/F276)/LN(1+C276/12),0)))),MAX(1,E276-1)))</f>
        <v>109</v>
      </c>
      <c r="O276" s="70">
        <f t="shared" ca="1" si="93"/>
        <v>142266.59803560167</v>
      </c>
      <c r="P276" s="70">
        <f t="shared" ca="1" si="107"/>
        <v>16731549.601615425</v>
      </c>
      <c r="Q276" s="70">
        <f ca="1">IF(OR(A276&gt;入力設定!$B$6*12,P276+AC276&lt;0.000001),0,IF(P276&lt;0.000001,Q275,IF(AE276=1,IF(C276=0,P276/MAX(1,入力設定!$B$6*12-A276+1),P276*(C276/12)/(1-(1+C276/12)^(-MAX(1,入力設定!$B$6*12-A276+1)))),Q275)))</f>
        <v>150233.43899513036</v>
      </c>
      <c r="R276" s="70">
        <f ca="1">IF(P276+AC276&lt;0.000001,0,IF(A276=入力設定!$B$6*12,P276+AB276+AC276,MIN(Q276,P276+AB276+AC276)))</f>
        <v>150233.43899513036</v>
      </c>
      <c r="S276" s="70">
        <f t="shared" ca="1" si="94"/>
        <v>69714.790006730938</v>
      </c>
      <c r="T276" s="70">
        <f t="shared" ca="1" si="95"/>
        <v>80518.648988399422</v>
      </c>
      <c r="U276" s="70">
        <f t="shared" ca="1" si="96"/>
        <v>16651030.952627026</v>
      </c>
      <c r="V276" s="70">
        <f t="shared" ca="1" si="97"/>
        <v>0</v>
      </c>
      <c r="W276" s="70">
        <f t="shared" ca="1" si="98"/>
        <v>0</v>
      </c>
      <c r="X276" s="70">
        <f t="shared" ca="1" si="99"/>
        <v>0</v>
      </c>
      <c r="Y276" s="71">
        <f t="shared" ca="1" si="100"/>
        <v>52220.509689054132</v>
      </c>
      <c r="Z276" s="71">
        <f t="shared" ca="1" si="108"/>
        <v>0</v>
      </c>
      <c r="AA276" s="71">
        <f t="shared" ca="1" si="101"/>
        <v>0</v>
      </c>
      <c r="AB276" s="71">
        <f t="shared" ca="1" si="102"/>
        <v>69714.790006730938</v>
      </c>
      <c r="AC276" s="71">
        <f t="shared" ca="1" si="109"/>
        <v>0</v>
      </c>
      <c r="AD276" s="71">
        <f t="shared" ca="1" si="103"/>
        <v>0</v>
      </c>
      <c r="AE276" s="72">
        <f t="shared" si="104"/>
        <v>0</v>
      </c>
      <c r="AF276" s="73">
        <f>IF(A276&gt;入力設定!$B$6*12,0,IF(AND(ISNUMBER(C276),C276&gt;=0,C276&lt;=1),0,1))</f>
        <v>0</v>
      </c>
    </row>
    <row r="277" spans="1:32" ht="21" customHeight="1">
      <c r="A277" s="68">
        <f>272</f>
        <v>272</v>
      </c>
      <c r="B277" s="69">
        <f>EDATE(入力設定!$B$7,A277-1)</f>
        <v>54575</v>
      </c>
      <c r="C277" s="80">
        <f>INDEX(入力設定!$C$15:$C$24,INT((A277-1)/60)+1)</f>
        <v>0.05</v>
      </c>
      <c r="D277" s="70">
        <f t="shared" ca="1" si="105"/>
        <v>12442876.237026442</v>
      </c>
      <c r="E277" s="70">
        <f t="shared" ca="1" si="106"/>
        <v>109</v>
      </c>
      <c r="F277" s="70">
        <f ca="1">IF(D277+Z277&lt;0.000001,0,IF(D277&lt;0.000001,F276,IF(OR(AE277=1,AND(K276&gt;0,入力設定!$B$8="返済額軽減型",入力設定!$B$11="翌月")),IF(C277=0,D277/MAX(1,E277),D277*(C277/12)/(1-(1+C277/12)^(-MAX(1,E277)))),F276)))</f>
        <v>142266.59803560167</v>
      </c>
      <c r="G277" s="70">
        <f t="shared" ca="1" si="88"/>
        <v>142266.59803560167</v>
      </c>
      <c r="H277" s="70">
        <f t="shared" ca="1" si="89"/>
        <v>51845.317654276841</v>
      </c>
      <c r="I277" s="70">
        <f t="shared" ca="1" si="90"/>
        <v>90421.280381324817</v>
      </c>
      <c r="J277" s="70">
        <f>SUMIFS(入力設定!$G$5:$G$24,入力設定!$F$5:$F$24,A277)</f>
        <v>0</v>
      </c>
      <c r="K277" s="70">
        <f t="shared" ca="1" si="91"/>
        <v>0</v>
      </c>
      <c r="L277" s="70">
        <f ca="1">IF(K277&gt;0,入力設定!$B$9,0)</f>
        <v>0</v>
      </c>
      <c r="M277" s="70">
        <f t="shared" ca="1" si="92"/>
        <v>12352454.956645116</v>
      </c>
      <c r="N277" s="70">
        <f ca="1">IF(M277+AA277&lt;0.000001,0,IF(AND(K277&gt;0,入力設定!$B$8="期間短縮型",AA277&lt;0.000001,F277&gt;M277*C277/12),MAX(1,MIN(E277-1,IF(C277=0,ROUNDUP(M277/F277,0),ROUNDUP(-LN(1-M277*(C277/12)/F277)/LN(1+C277/12),0)))),MAX(1,E277-1)))</f>
        <v>108</v>
      </c>
      <c r="O277" s="70">
        <f t="shared" ca="1" si="93"/>
        <v>142266.59803560167</v>
      </c>
      <c r="P277" s="70">
        <f t="shared" ca="1" si="107"/>
        <v>16651030.952627026</v>
      </c>
      <c r="Q277" s="70">
        <f ca="1">IF(OR(A277&gt;入力設定!$B$6*12,P277+AC277&lt;0.000001),0,IF(P277&lt;0.000001,Q276,IF(AE277=1,IF(C277=0,P277/MAX(1,入力設定!$B$6*12-A277+1),P277*(C277/12)/(1-(1+C277/12)^(-MAX(1,入力設定!$B$6*12-A277+1)))),Q276)))</f>
        <v>150233.43899513036</v>
      </c>
      <c r="R277" s="70">
        <f ca="1">IF(P277+AC277&lt;0.000001,0,IF(A277=入力設定!$B$6*12,P277+AB277+AC277,MIN(Q277,P277+AB277+AC277)))</f>
        <v>150233.43899513036</v>
      </c>
      <c r="S277" s="70">
        <f t="shared" ca="1" si="94"/>
        <v>69379.295635945935</v>
      </c>
      <c r="T277" s="70">
        <f t="shared" ca="1" si="95"/>
        <v>80854.143359184425</v>
      </c>
      <c r="U277" s="70">
        <f t="shared" ca="1" si="96"/>
        <v>16570176.809267841</v>
      </c>
      <c r="V277" s="70">
        <f t="shared" ca="1" si="97"/>
        <v>0</v>
      </c>
      <c r="W277" s="70">
        <f t="shared" ca="1" si="98"/>
        <v>0</v>
      </c>
      <c r="X277" s="70">
        <f t="shared" ca="1" si="99"/>
        <v>0</v>
      </c>
      <c r="Y277" s="71">
        <f t="shared" ca="1" si="100"/>
        <v>51845.317654276841</v>
      </c>
      <c r="Z277" s="71">
        <f t="shared" ca="1" si="108"/>
        <v>0</v>
      </c>
      <c r="AA277" s="71">
        <f t="shared" ca="1" si="101"/>
        <v>0</v>
      </c>
      <c r="AB277" s="71">
        <f t="shared" ca="1" si="102"/>
        <v>69379.295635945935</v>
      </c>
      <c r="AC277" s="71">
        <f t="shared" ca="1" si="109"/>
        <v>0</v>
      </c>
      <c r="AD277" s="71">
        <f t="shared" ca="1" si="103"/>
        <v>0</v>
      </c>
      <c r="AE277" s="72">
        <f t="shared" si="104"/>
        <v>0</v>
      </c>
      <c r="AF277" s="73">
        <f>IF(A277&gt;入力設定!$B$6*12,0,IF(AND(ISNUMBER(C277),C277&gt;=0,C277&lt;=1),0,1))</f>
        <v>0</v>
      </c>
    </row>
    <row r="278" spans="1:32" ht="21" customHeight="1">
      <c r="A278" s="68">
        <f>273</f>
        <v>273</v>
      </c>
      <c r="B278" s="69">
        <f>EDATE(入力設定!$B$7,A278-1)</f>
        <v>54605</v>
      </c>
      <c r="C278" s="80">
        <f>INDEX(入力設定!$C$15:$C$24,INT((A278-1)/60)+1)</f>
        <v>0.05</v>
      </c>
      <c r="D278" s="70">
        <f t="shared" ca="1" si="105"/>
        <v>12352454.956645116</v>
      </c>
      <c r="E278" s="70">
        <f t="shared" ca="1" si="106"/>
        <v>108</v>
      </c>
      <c r="F278" s="70">
        <f ca="1">IF(D278+Z278&lt;0.000001,0,IF(D278&lt;0.000001,F277,IF(OR(AE278=1,AND(K277&gt;0,入力設定!$B$8="返済額軽減型",入力設定!$B$11="翌月")),IF(C278=0,D278/MAX(1,E278),D278*(C278/12)/(1-(1+C278/12)^(-MAX(1,E278)))),F277)))</f>
        <v>142266.59803560167</v>
      </c>
      <c r="G278" s="70">
        <f t="shared" ca="1" si="88"/>
        <v>142266.59803560167</v>
      </c>
      <c r="H278" s="70">
        <f t="shared" ca="1" si="89"/>
        <v>51468.562319354649</v>
      </c>
      <c r="I278" s="70">
        <f t="shared" ca="1" si="90"/>
        <v>90798.035716247017</v>
      </c>
      <c r="J278" s="70">
        <f>SUMIFS(入力設定!$G$5:$G$24,入力設定!$F$5:$F$24,A278)</f>
        <v>0</v>
      </c>
      <c r="K278" s="70">
        <f t="shared" ca="1" si="91"/>
        <v>0</v>
      </c>
      <c r="L278" s="70">
        <f ca="1">IF(K278&gt;0,入力設定!$B$9,0)</f>
        <v>0</v>
      </c>
      <c r="M278" s="70">
        <f t="shared" ca="1" si="92"/>
        <v>12261656.920928869</v>
      </c>
      <c r="N278" s="70">
        <f ca="1">IF(M278+AA278&lt;0.000001,0,IF(AND(K278&gt;0,入力設定!$B$8="期間短縮型",AA278&lt;0.000001,F278&gt;M278*C278/12),MAX(1,MIN(E278-1,IF(C278=0,ROUNDUP(M278/F278,0),ROUNDUP(-LN(1-M278*(C278/12)/F278)/LN(1+C278/12),0)))),MAX(1,E278-1)))</f>
        <v>107</v>
      </c>
      <c r="O278" s="70">
        <f t="shared" ca="1" si="93"/>
        <v>142266.59803560167</v>
      </c>
      <c r="P278" s="70">
        <f t="shared" ca="1" si="107"/>
        <v>16570176.809267841</v>
      </c>
      <c r="Q278" s="70">
        <f ca="1">IF(OR(A278&gt;入力設定!$B$6*12,P278+AC278&lt;0.000001),0,IF(P278&lt;0.000001,Q277,IF(AE278=1,IF(C278=0,P278/MAX(1,入力設定!$B$6*12-A278+1),P278*(C278/12)/(1-(1+C278/12)^(-MAX(1,入力設定!$B$6*12-A278+1)))),Q277)))</f>
        <v>150233.43899513036</v>
      </c>
      <c r="R278" s="70">
        <f ca="1">IF(P278+AC278&lt;0.000001,0,IF(A278=入力設定!$B$6*12,P278+AB278+AC278,MIN(Q278,P278+AB278+AC278)))</f>
        <v>150233.43899513036</v>
      </c>
      <c r="S278" s="70">
        <f t="shared" ca="1" si="94"/>
        <v>69042.403371949345</v>
      </c>
      <c r="T278" s="70">
        <f t="shared" ca="1" si="95"/>
        <v>81191.035623181015</v>
      </c>
      <c r="U278" s="70">
        <f t="shared" ca="1" si="96"/>
        <v>16488985.77364466</v>
      </c>
      <c r="V278" s="70">
        <f t="shared" ca="1" si="97"/>
        <v>0</v>
      </c>
      <c r="W278" s="70">
        <f t="shared" ca="1" si="98"/>
        <v>0</v>
      </c>
      <c r="X278" s="70">
        <f t="shared" ca="1" si="99"/>
        <v>0</v>
      </c>
      <c r="Y278" s="71">
        <f t="shared" ca="1" si="100"/>
        <v>51468.562319354649</v>
      </c>
      <c r="Z278" s="71">
        <f t="shared" ca="1" si="108"/>
        <v>0</v>
      </c>
      <c r="AA278" s="71">
        <f t="shared" ca="1" si="101"/>
        <v>0</v>
      </c>
      <c r="AB278" s="71">
        <f t="shared" ca="1" si="102"/>
        <v>69042.403371949345</v>
      </c>
      <c r="AC278" s="71">
        <f t="shared" ca="1" si="109"/>
        <v>0</v>
      </c>
      <c r="AD278" s="71">
        <f t="shared" ca="1" si="103"/>
        <v>0</v>
      </c>
      <c r="AE278" s="72">
        <f t="shared" si="104"/>
        <v>0</v>
      </c>
      <c r="AF278" s="73">
        <f>IF(A278&gt;入力設定!$B$6*12,0,IF(AND(ISNUMBER(C278),C278&gt;=0,C278&lt;=1),0,1))</f>
        <v>0</v>
      </c>
    </row>
    <row r="279" spans="1:32" ht="21" customHeight="1">
      <c r="A279" s="68">
        <f>274</f>
        <v>274</v>
      </c>
      <c r="B279" s="69">
        <f>EDATE(入力設定!$B$7,A279-1)</f>
        <v>54636</v>
      </c>
      <c r="C279" s="80">
        <f>INDEX(入力設定!$C$15:$C$24,INT((A279-1)/60)+1)</f>
        <v>0.05</v>
      </c>
      <c r="D279" s="70">
        <f t="shared" ca="1" si="105"/>
        <v>12261656.920928869</v>
      </c>
      <c r="E279" s="70">
        <f t="shared" ca="1" si="106"/>
        <v>107</v>
      </c>
      <c r="F279" s="70">
        <f ca="1">IF(D279+Z279&lt;0.000001,0,IF(D279&lt;0.000001,F278,IF(OR(AE279=1,AND(K278&gt;0,入力設定!$B$8="返済額軽減型",入力設定!$B$11="翌月")),IF(C279=0,D279/MAX(1,E279),D279*(C279/12)/(1-(1+C279/12)^(-MAX(1,E279)))),F278)))</f>
        <v>142266.59803560167</v>
      </c>
      <c r="G279" s="70">
        <f t="shared" ca="1" si="88"/>
        <v>142266.59803560167</v>
      </c>
      <c r="H279" s="70">
        <f t="shared" ca="1" si="89"/>
        <v>51090.237170536951</v>
      </c>
      <c r="I279" s="70">
        <f t="shared" ca="1" si="90"/>
        <v>91176.360865064722</v>
      </c>
      <c r="J279" s="70">
        <f>SUMIFS(入力設定!$G$5:$G$24,入力設定!$F$5:$F$24,A279)</f>
        <v>0</v>
      </c>
      <c r="K279" s="70">
        <f t="shared" ca="1" si="91"/>
        <v>0</v>
      </c>
      <c r="L279" s="70">
        <f ca="1">IF(K279&gt;0,入力設定!$B$9,0)</f>
        <v>0</v>
      </c>
      <c r="M279" s="70">
        <f t="shared" ca="1" si="92"/>
        <v>12170480.560063805</v>
      </c>
      <c r="N279" s="70">
        <f ca="1">IF(M279+AA279&lt;0.000001,0,IF(AND(K279&gt;0,入力設定!$B$8="期間短縮型",AA279&lt;0.000001,F279&gt;M279*C279/12),MAX(1,MIN(E279-1,IF(C279=0,ROUNDUP(M279/F279,0),ROUNDUP(-LN(1-M279*(C279/12)/F279)/LN(1+C279/12),0)))),MAX(1,E279-1)))</f>
        <v>106</v>
      </c>
      <c r="O279" s="70">
        <f t="shared" ca="1" si="93"/>
        <v>142266.59803560167</v>
      </c>
      <c r="P279" s="70">
        <f t="shared" ca="1" si="107"/>
        <v>16488985.77364466</v>
      </c>
      <c r="Q279" s="70">
        <f ca="1">IF(OR(A279&gt;入力設定!$B$6*12,P279+AC279&lt;0.000001),0,IF(P279&lt;0.000001,Q278,IF(AE279=1,IF(C279=0,P279/MAX(1,入力設定!$B$6*12-A279+1),P279*(C279/12)/(1-(1+C279/12)^(-MAX(1,入力設定!$B$6*12-A279+1)))),Q278)))</f>
        <v>150233.43899513036</v>
      </c>
      <c r="R279" s="70">
        <f ca="1">IF(P279+AC279&lt;0.000001,0,IF(A279=入力設定!$B$6*12,P279+AB279+AC279,MIN(Q279,P279+AB279+AC279)))</f>
        <v>150233.43899513036</v>
      </c>
      <c r="S279" s="70">
        <f t="shared" ca="1" si="94"/>
        <v>68704.107390186095</v>
      </c>
      <c r="T279" s="70">
        <f t="shared" ca="1" si="95"/>
        <v>81529.331604944266</v>
      </c>
      <c r="U279" s="70">
        <f t="shared" ca="1" si="96"/>
        <v>16407456.442039715</v>
      </c>
      <c r="V279" s="70">
        <f t="shared" ca="1" si="97"/>
        <v>0</v>
      </c>
      <c r="W279" s="70">
        <f t="shared" ca="1" si="98"/>
        <v>0</v>
      </c>
      <c r="X279" s="70">
        <f t="shared" ca="1" si="99"/>
        <v>0</v>
      </c>
      <c r="Y279" s="71">
        <f t="shared" ca="1" si="100"/>
        <v>51090.237170536951</v>
      </c>
      <c r="Z279" s="71">
        <f t="shared" ca="1" si="108"/>
        <v>0</v>
      </c>
      <c r="AA279" s="71">
        <f t="shared" ca="1" si="101"/>
        <v>0</v>
      </c>
      <c r="AB279" s="71">
        <f t="shared" ca="1" si="102"/>
        <v>68704.107390186095</v>
      </c>
      <c r="AC279" s="71">
        <f t="shared" ca="1" si="109"/>
        <v>0</v>
      </c>
      <c r="AD279" s="71">
        <f t="shared" ca="1" si="103"/>
        <v>0</v>
      </c>
      <c r="AE279" s="72">
        <f t="shared" si="104"/>
        <v>0</v>
      </c>
      <c r="AF279" s="73">
        <f>IF(A279&gt;入力設定!$B$6*12,0,IF(AND(ISNUMBER(C279),C279&gt;=0,C279&lt;=1),0,1))</f>
        <v>0</v>
      </c>
    </row>
    <row r="280" spans="1:32" ht="21" customHeight="1">
      <c r="A280" s="68">
        <f>275</f>
        <v>275</v>
      </c>
      <c r="B280" s="69">
        <f>EDATE(入力設定!$B$7,A280-1)</f>
        <v>54667</v>
      </c>
      <c r="C280" s="80">
        <f>INDEX(入力設定!$C$15:$C$24,INT((A280-1)/60)+1)</f>
        <v>0.05</v>
      </c>
      <c r="D280" s="70">
        <f t="shared" ca="1" si="105"/>
        <v>12170480.560063805</v>
      </c>
      <c r="E280" s="70">
        <f t="shared" ca="1" si="106"/>
        <v>106</v>
      </c>
      <c r="F280" s="70">
        <f ca="1">IF(D280+Z280&lt;0.000001,0,IF(D280&lt;0.000001,F279,IF(OR(AE280=1,AND(K279&gt;0,入力設定!$B$8="返済額軽減型",入力設定!$B$11="翌月")),IF(C280=0,D280/MAX(1,E280),D280*(C280/12)/(1-(1+C280/12)^(-MAX(1,E280)))),F279)))</f>
        <v>142266.59803560167</v>
      </c>
      <c r="G280" s="70">
        <f t="shared" ca="1" si="88"/>
        <v>142266.59803560167</v>
      </c>
      <c r="H280" s="70">
        <f t="shared" ca="1" si="89"/>
        <v>50710.335666932522</v>
      </c>
      <c r="I280" s="70">
        <f t="shared" ca="1" si="90"/>
        <v>91556.262368669151</v>
      </c>
      <c r="J280" s="70">
        <f>SUMIFS(入力設定!$G$5:$G$24,入力設定!$F$5:$F$24,A280)</f>
        <v>0</v>
      </c>
      <c r="K280" s="70">
        <f t="shared" ca="1" si="91"/>
        <v>0</v>
      </c>
      <c r="L280" s="70">
        <f ca="1">IF(K280&gt;0,入力設定!$B$9,0)</f>
        <v>0</v>
      </c>
      <c r="M280" s="70">
        <f t="shared" ca="1" si="92"/>
        <v>12078924.297695136</v>
      </c>
      <c r="N280" s="70">
        <f ca="1">IF(M280+AA280&lt;0.000001,0,IF(AND(K280&gt;0,入力設定!$B$8="期間短縮型",AA280&lt;0.000001,F280&gt;M280*C280/12),MAX(1,MIN(E280-1,IF(C280=0,ROUNDUP(M280/F280,0),ROUNDUP(-LN(1-M280*(C280/12)/F280)/LN(1+C280/12),0)))),MAX(1,E280-1)))</f>
        <v>105</v>
      </c>
      <c r="O280" s="70">
        <f t="shared" ca="1" si="93"/>
        <v>142266.59803560167</v>
      </c>
      <c r="P280" s="70">
        <f t="shared" ca="1" si="107"/>
        <v>16407456.442039715</v>
      </c>
      <c r="Q280" s="70">
        <f ca="1">IF(OR(A280&gt;入力設定!$B$6*12,P280+AC280&lt;0.000001),0,IF(P280&lt;0.000001,Q279,IF(AE280=1,IF(C280=0,P280/MAX(1,入力設定!$B$6*12-A280+1),P280*(C280/12)/(1-(1+C280/12)^(-MAX(1,入力設定!$B$6*12-A280+1)))),Q279)))</f>
        <v>150233.43899513036</v>
      </c>
      <c r="R280" s="70">
        <f ca="1">IF(P280+AC280&lt;0.000001,0,IF(A280=入力設定!$B$6*12,P280+AB280+AC280,MIN(Q280,P280+AB280+AC280)))</f>
        <v>150233.43899513036</v>
      </c>
      <c r="S280" s="70">
        <f t="shared" ca="1" si="94"/>
        <v>68364.40184183215</v>
      </c>
      <c r="T280" s="70">
        <f t="shared" ca="1" si="95"/>
        <v>81869.03715329821</v>
      </c>
      <c r="U280" s="70">
        <f t="shared" ca="1" si="96"/>
        <v>16325587.404886417</v>
      </c>
      <c r="V280" s="70">
        <f t="shared" ca="1" si="97"/>
        <v>0</v>
      </c>
      <c r="W280" s="70">
        <f t="shared" ca="1" si="98"/>
        <v>0</v>
      </c>
      <c r="X280" s="70">
        <f t="shared" ca="1" si="99"/>
        <v>0</v>
      </c>
      <c r="Y280" s="71">
        <f t="shared" ca="1" si="100"/>
        <v>50710.335666932522</v>
      </c>
      <c r="Z280" s="71">
        <f t="shared" ca="1" si="108"/>
        <v>0</v>
      </c>
      <c r="AA280" s="71">
        <f t="shared" ca="1" si="101"/>
        <v>0</v>
      </c>
      <c r="AB280" s="71">
        <f t="shared" ca="1" si="102"/>
        <v>68364.40184183215</v>
      </c>
      <c r="AC280" s="71">
        <f t="shared" ca="1" si="109"/>
        <v>0</v>
      </c>
      <c r="AD280" s="71">
        <f t="shared" ca="1" si="103"/>
        <v>0</v>
      </c>
      <c r="AE280" s="72">
        <f t="shared" si="104"/>
        <v>0</v>
      </c>
      <c r="AF280" s="73">
        <f>IF(A280&gt;入力設定!$B$6*12,0,IF(AND(ISNUMBER(C280),C280&gt;=0,C280&lt;=1),0,1))</f>
        <v>0</v>
      </c>
    </row>
    <row r="281" spans="1:32" ht="21" customHeight="1">
      <c r="A281" s="68">
        <f>276</f>
        <v>276</v>
      </c>
      <c r="B281" s="69">
        <f>EDATE(入力設定!$B$7,A281-1)</f>
        <v>54697</v>
      </c>
      <c r="C281" s="80">
        <f>INDEX(入力設定!$C$15:$C$24,INT((A281-1)/60)+1)</f>
        <v>0.05</v>
      </c>
      <c r="D281" s="70">
        <f t="shared" ca="1" si="105"/>
        <v>12078924.297695136</v>
      </c>
      <c r="E281" s="70">
        <f t="shared" ca="1" si="106"/>
        <v>105</v>
      </c>
      <c r="F281" s="70">
        <f ca="1">IF(D281+Z281&lt;0.000001,0,IF(D281&lt;0.000001,F280,IF(OR(AE281=1,AND(K280&gt;0,入力設定!$B$8="返済額軽減型",入力設定!$B$11="翌月")),IF(C281=0,D281/MAX(1,E281),D281*(C281/12)/(1-(1+C281/12)^(-MAX(1,E281)))),F280)))</f>
        <v>142266.59803560167</v>
      </c>
      <c r="G281" s="70">
        <f t="shared" ca="1" si="88"/>
        <v>142266.59803560167</v>
      </c>
      <c r="H281" s="70">
        <f t="shared" ca="1" si="89"/>
        <v>50328.851240396405</v>
      </c>
      <c r="I281" s="70">
        <f t="shared" ca="1" si="90"/>
        <v>91937.746795205254</v>
      </c>
      <c r="J281" s="70">
        <f>SUMIFS(入力設定!$G$5:$G$24,入力設定!$F$5:$F$24,A281)</f>
        <v>0</v>
      </c>
      <c r="K281" s="70">
        <f t="shared" ca="1" si="91"/>
        <v>0</v>
      </c>
      <c r="L281" s="70">
        <f ca="1">IF(K281&gt;0,入力設定!$B$9,0)</f>
        <v>0</v>
      </c>
      <c r="M281" s="70">
        <f t="shared" ca="1" si="92"/>
        <v>11986986.55089993</v>
      </c>
      <c r="N281" s="70">
        <f ca="1">IF(M281+AA281&lt;0.000001,0,IF(AND(K281&gt;0,入力設定!$B$8="期間短縮型",AA281&lt;0.000001,F281&gt;M281*C281/12),MAX(1,MIN(E281-1,IF(C281=0,ROUNDUP(M281/F281,0),ROUNDUP(-LN(1-M281*(C281/12)/F281)/LN(1+C281/12),0)))),MAX(1,E281-1)))</f>
        <v>104</v>
      </c>
      <c r="O281" s="70">
        <f t="shared" ca="1" si="93"/>
        <v>142266.59803560167</v>
      </c>
      <c r="P281" s="70">
        <f t="shared" ca="1" si="107"/>
        <v>16325587.404886417</v>
      </c>
      <c r="Q281" s="70">
        <f ca="1">IF(OR(A281&gt;入力設定!$B$6*12,P281+AC281&lt;0.000001),0,IF(P281&lt;0.000001,Q280,IF(AE281=1,IF(C281=0,P281/MAX(1,入力設定!$B$6*12-A281+1),P281*(C281/12)/(1-(1+C281/12)^(-MAX(1,入力設定!$B$6*12-A281+1)))),Q280)))</f>
        <v>150233.43899513036</v>
      </c>
      <c r="R281" s="70">
        <f ca="1">IF(P281+AC281&lt;0.000001,0,IF(A281=入力設定!$B$6*12,P281+AB281+AC281,MIN(Q281,P281+AB281+AC281)))</f>
        <v>150233.43899513036</v>
      </c>
      <c r="S281" s="70">
        <f t="shared" ca="1" si="94"/>
        <v>68023.280853693417</v>
      </c>
      <c r="T281" s="70">
        <f t="shared" ca="1" si="95"/>
        <v>82210.158141436943</v>
      </c>
      <c r="U281" s="70">
        <f t="shared" ca="1" si="96"/>
        <v>16243377.246744981</v>
      </c>
      <c r="V281" s="70">
        <f t="shared" ca="1" si="97"/>
        <v>0</v>
      </c>
      <c r="W281" s="70">
        <f t="shared" ca="1" si="98"/>
        <v>0</v>
      </c>
      <c r="X281" s="70">
        <f t="shared" ca="1" si="99"/>
        <v>0</v>
      </c>
      <c r="Y281" s="71">
        <f t="shared" ca="1" si="100"/>
        <v>50328.851240396405</v>
      </c>
      <c r="Z281" s="71">
        <f t="shared" ca="1" si="108"/>
        <v>0</v>
      </c>
      <c r="AA281" s="71">
        <f t="shared" ca="1" si="101"/>
        <v>0</v>
      </c>
      <c r="AB281" s="71">
        <f t="shared" ca="1" si="102"/>
        <v>68023.280853693417</v>
      </c>
      <c r="AC281" s="71">
        <f t="shared" ca="1" si="109"/>
        <v>0</v>
      </c>
      <c r="AD281" s="71">
        <f t="shared" ca="1" si="103"/>
        <v>0</v>
      </c>
      <c r="AE281" s="72">
        <f t="shared" si="104"/>
        <v>0</v>
      </c>
      <c r="AF281" s="73">
        <f>IF(A281&gt;入力設定!$B$6*12,0,IF(AND(ISNUMBER(C281),C281&gt;=0,C281&lt;=1),0,1))</f>
        <v>0</v>
      </c>
    </row>
    <row r="282" spans="1:32" ht="21" customHeight="1">
      <c r="A282" s="68">
        <f>277</f>
        <v>277</v>
      </c>
      <c r="B282" s="69">
        <f>EDATE(入力設定!$B$7,A282-1)</f>
        <v>54728</v>
      </c>
      <c r="C282" s="80">
        <f>INDEX(入力設定!$C$15:$C$24,INT((A282-1)/60)+1)</f>
        <v>0.05</v>
      </c>
      <c r="D282" s="70">
        <f t="shared" ca="1" si="105"/>
        <v>11986986.55089993</v>
      </c>
      <c r="E282" s="70">
        <f t="shared" ca="1" si="106"/>
        <v>104</v>
      </c>
      <c r="F282" s="70">
        <f ca="1">IF(D282+Z282&lt;0.000001,0,IF(D282&lt;0.000001,F281,IF(OR(AE282=1,AND(K281&gt;0,入力設定!$B$8="返済額軽減型",入力設定!$B$11="翌月")),IF(C282=0,D282/MAX(1,E282),D282*(C282/12)/(1-(1+C282/12)^(-MAX(1,E282)))),F281)))</f>
        <v>142266.59803560167</v>
      </c>
      <c r="G282" s="70">
        <f t="shared" ca="1" si="88"/>
        <v>142266.59803560167</v>
      </c>
      <c r="H282" s="70">
        <f t="shared" ca="1" si="89"/>
        <v>49945.777295416374</v>
      </c>
      <c r="I282" s="70">
        <f t="shared" ca="1" si="90"/>
        <v>92320.8207401853</v>
      </c>
      <c r="J282" s="70">
        <f>SUMIFS(入力設定!$G$5:$G$24,入力設定!$F$5:$F$24,A282)</f>
        <v>0</v>
      </c>
      <c r="K282" s="70">
        <f t="shared" ca="1" si="91"/>
        <v>0</v>
      </c>
      <c r="L282" s="70">
        <f ca="1">IF(K282&gt;0,入力設定!$B$9,0)</f>
        <v>0</v>
      </c>
      <c r="M282" s="70">
        <f t="shared" ca="1" si="92"/>
        <v>11894665.730159745</v>
      </c>
      <c r="N282" s="70">
        <f ca="1">IF(M282+AA282&lt;0.000001,0,IF(AND(K282&gt;0,入力設定!$B$8="期間短縮型",AA282&lt;0.000001,F282&gt;M282*C282/12),MAX(1,MIN(E282-1,IF(C282=0,ROUNDUP(M282/F282,0),ROUNDUP(-LN(1-M282*(C282/12)/F282)/LN(1+C282/12),0)))),MAX(1,E282-1)))</f>
        <v>103</v>
      </c>
      <c r="O282" s="70">
        <f t="shared" ca="1" si="93"/>
        <v>142266.59803560167</v>
      </c>
      <c r="P282" s="70">
        <f t="shared" ca="1" si="107"/>
        <v>16243377.246744981</v>
      </c>
      <c r="Q282" s="70">
        <f ca="1">IF(OR(A282&gt;入力設定!$B$6*12,P282+AC282&lt;0.000001),0,IF(P282&lt;0.000001,Q281,IF(AE282=1,IF(C282=0,P282/MAX(1,入力設定!$B$6*12-A282+1),P282*(C282/12)/(1-(1+C282/12)^(-MAX(1,入力設定!$B$6*12-A282+1)))),Q281)))</f>
        <v>150233.43899513036</v>
      </c>
      <c r="R282" s="70">
        <f ca="1">IF(P282+AC282&lt;0.000001,0,IF(A282=入力設定!$B$6*12,P282+AB282+AC282,MIN(Q282,P282+AB282+AC282)))</f>
        <v>150233.43899513036</v>
      </c>
      <c r="S282" s="70">
        <f t="shared" ca="1" si="94"/>
        <v>67680.738528104092</v>
      </c>
      <c r="T282" s="70">
        <f t="shared" ca="1" si="95"/>
        <v>82552.700467026269</v>
      </c>
      <c r="U282" s="70">
        <f t="shared" ca="1" si="96"/>
        <v>16160824.546277955</v>
      </c>
      <c r="V282" s="70">
        <f t="shared" ca="1" si="97"/>
        <v>0</v>
      </c>
      <c r="W282" s="70">
        <f t="shared" ca="1" si="98"/>
        <v>0</v>
      </c>
      <c r="X282" s="70">
        <f t="shared" ca="1" si="99"/>
        <v>0</v>
      </c>
      <c r="Y282" s="71">
        <f t="shared" ca="1" si="100"/>
        <v>49945.777295416374</v>
      </c>
      <c r="Z282" s="71">
        <f t="shared" ca="1" si="108"/>
        <v>0</v>
      </c>
      <c r="AA282" s="71">
        <f t="shared" ca="1" si="101"/>
        <v>0</v>
      </c>
      <c r="AB282" s="71">
        <f t="shared" ca="1" si="102"/>
        <v>67680.738528104092</v>
      </c>
      <c r="AC282" s="71">
        <f t="shared" ca="1" si="109"/>
        <v>0</v>
      </c>
      <c r="AD282" s="71">
        <f t="shared" ca="1" si="103"/>
        <v>0</v>
      </c>
      <c r="AE282" s="72">
        <f t="shared" si="104"/>
        <v>0</v>
      </c>
      <c r="AF282" s="73">
        <f>IF(A282&gt;入力設定!$B$6*12,0,IF(AND(ISNUMBER(C282),C282&gt;=0,C282&lt;=1),0,1))</f>
        <v>0</v>
      </c>
    </row>
    <row r="283" spans="1:32" ht="21" customHeight="1">
      <c r="A283" s="68">
        <f>278</f>
        <v>278</v>
      </c>
      <c r="B283" s="69">
        <f>EDATE(入力設定!$B$7,A283-1)</f>
        <v>54758</v>
      </c>
      <c r="C283" s="80">
        <f>INDEX(入力設定!$C$15:$C$24,INT((A283-1)/60)+1)</f>
        <v>0.05</v>
      </c>
      <c r="D283" s="70">
        <f t="shared" ca="1" si="105"/>
        <v>11894665.730159745</v>
      </c>
      <c r="E283" s="70">
        <f t="shared" ca="1" si="106"/>
        <v>103</v>
      </c>
      <c r="F283" s="70">
        <f ca="1">IF(D283+Z283&lt;0.000001,0,IF(D283&lt;0.000001,F282,IF(OR(AE283=1,AND(K282&gt;0,入力設定!$B$8="返済額軽減型",入力設定!$B$11="翌月")),IF(C283=0,D283/MAX(1,E283),D283*(C283/12)/(1-(1+C283/12)^(-MAX(1,E283)))),F282)))</f>
        <v>142266.59803560167</v>
      </c>
      <c r="G283" s="70">
        <f t="shared" ca="1" si="88"/>
        <v>142266.59803560167</v>
      </c>
      <c r="H283" s="70">
        <f t="shared" ca="1" si="89"/>
        <v>49561.107208998939</v>
      </c>
      <c r="I283" s="70">
        <f t="shared" ca="1" si="90"/>
        <v>92705.490826602734</v>
      </c>
      <c r="J283" s="70">
        <f>SUMIFS(入力設定!$G$5:$G$24,入力設定!$F$5:$F$24,A283)</f>
        <v>0</v>
      </c>
      <c r="K283" s="70">
        <f t="shared" ca="1" si="91"/>
        <v>0</v>
      </c>
      <c r="L283" s="70">
        <f ca="1">IF(K283&gt;0,入力設定!$B$9,0)</f>
        <v>0</v>
      </c>
      <c r="M283" s="70">
        <f t="shared" ca="1" si="92"/>
        <v>11801960.239333142</v>
      </c>
      <c r="N283" s="70">
        <f ca="1">IF(M283+AA283&lt;0.000001,0,IF(AND(K283&gt;0,入力設定!$B$8="期間短縮型",AA283&lt;0.000001,F283&gt;M283*C283/12),MAX(1,MIN(E283-1,IF(C283=0,ROUNDUP(M283/F283,0),ROUNDUP(-LN(1-M283*(C283/12)/F283)/LN(1+C283/12),0)))),MAX(1,E283-1)))</f>
        <v>102</v>
      </c>
      <c r="O283" s="70">
        <f t="shared" ca="1" si="93"/>
        <v>142266.59803560167</v>
      </c>
      <c r="P283" s="70">
        <f t="shared" ca="1" si="107"/>
        <v>16160824.546277955</v>
      </c>
      <c r="Q283" s="70">
        <f ca="1">IF(OR(A283&gt;入力設定!$B$6*12,P283+AC283&lt;0.000001),0,IF(P283&lt;0.000001,Q282,IF(AE283=1,IF(C283=0,P283/MAX(1,入力設定!$B$6*12-A283+1),P283*(C283/12)/(1-(1+C283/12)^(-MAX(1,入力設定!$B$6*12-A283+1)))),Q282)))</f>
        <v>150233.43899513036</v>
      </c>
      <c r="R283" s="70">
        <f ca="1">IF(P283+AC283&lt;0.000001,0,IF(A283=入力設定!$B$6*12,P283+AB283+AC283,MIN(Q283,P283+AB283+AC283)))</f>
        <v>150233.43899513036</v>
      </c>
      <c r="S283" s="70">
        <f t="shared" ca="1" si="94"/>
        <v>67336.768942824812</v>
      </c>
      <c r="T283" s="70">
        <f t="shared" ca="1" si="95"/>
        <v>82896.670052305548</v>
      </c>
      <c r="U283" s="70">
        <f t="shared" ca="1" si="96"/>
        <v>16077927.87622565</v>
      </c>
      <c r="V283" s="70">
        <f t="shared" ca="1" si="97"/>
        <v>0</v>
      </c>
      <c r="W283" s="70">
        <f t="shared" ca="1" si="98"/>
        <v>0</v>
      </c>
      <c r="X283" s="70">
        <f t="shared" ca="1" si="99"/>
        <v>0</v>
      </c>
      <c r="Y283" s="71">
        <f t="shared" ca="1" si="100"/>
        <v>49561.107208998939</v>
      </c>
      <c r="Z283" s="71">
        <f t="shared" ca="1" si="108"/>
        <v>0</v>
      </c>
      <c r="AA283" s="71">
        <f t="shared" ca="1" si="101"/>
        <v>0</v>
      </c>
      <c r="AB283" s="71">
        <f t="shared" ca="1" si="102"/>
        <v>67336.768942824812</v>
      </c>
      <c r="AC283" s="71">
        <f t="shared" ca="1" si="109"/>
        <v>0</v>
      </c>
      <c r="AD283" s="71">
        <f t="shared" ca="1" si="103"/>
        <v>0</v>
      </c>
      <c r="AE283" s="72">
        <f t="shared" si="104"/>
        <v>0</v>
      </c>
      <c r="AF283" s="73">
        <f>IF(A283&gt;入力設定!$B$6*12,0,IF(AND(ISNUMBER(C283),C283&gt;=0,C283&lt;=1),0,1))</f>
        <v>0</v>
      </c>
    </row>
    <row r="284" spans="1:32" ht="21" customHeight="1">
      <c r="A284" s="68">
        <f>279</f>
        <v>279</v>
      </c>
      <c r="B284" s="69">
        <f>EDATE(入力設定!$B$7,A284-1)</f>
        <v>54789</v>
      </c>
      <c r="C284" s="80">
        <f>INDEX(入力設定!$C$15:$C$24,INT((A284-1)/60)+1)</f>
        <v>0.05</v>
      </c>
      <c r="D284" s="70">
        <f t="shared" ca="1" si="105"/>
        <v>11801960.239333142</v>
      </c>
      <c r="E284" s="70">
        <f t="shared" ca="1" si="106"/>
        <v>102</v>
      </c>
      <c r="F284" s="70">
        <f ca="1">IF(D284+Z284&lt;0.000001,0,IF(D284&lt;0.000001,F283,IF(OR(AE284=1,AND(K283&gt;0,入力設定!$B$8="返済額軽減型",入力設定!$B$11="翌月")),IF(C284=0,D284/MAX(1,E284),D284*(C284/12)/(1-(1+C284/12)^(-MAX(1,E284)))),F283)))</f>
        <v>142266.59803560167</v>
      </c>
      <c r="G284" s="70">
        <f t="shared" ca="1" si="88"/>
        <v>142266.59803560167</v>
      </c>
      <c r="H284" s="70">
        <f t="shared" ca="1" si="89"/>
        <v>49174.834330554761</v>
      </c>
      <c r="I284" s="70">
        <f t="shared" ca="1" si="90"/>
        <v>93091.763705046906</v>
      </c>
      <c r="J284" s="70">
        <f>SUMIFS(入力設定!$G$5:$G$24,入力設定!$F$5:$F$24,A284)</f>
        <v>0</v>
      </c>
      <c r="K284" s="70">
        <f t="shared" ca="1" si="91"/>
        <v>0</v>
      </c>
      <c r="L284" s="70">
        <f ca="1">IF(K284&gt;0,入力設定!$B$9,0)</f>
        <v>0</v>
      </c>
      <c r="M284" s="70">
        <f t="shared" ca="1" si="92"/>
        <v>11708868.475628095</v>
      </c>
      <c r="N284" s="70">
        <f ca="1">IF(M284+AA284&lt;0.000001,0,IF(AND(K284&gt;0,入力設定!$B$8="期間短縮型",AA284&lt;0.000001,F284&gt;M284*C284/12),MAX(1,MIN(E284-1,IF(C284=0,ROUNDUP(M284/F284,0),ROUNDUP(-LN(1-M284*(C284/12)/F284)/LN(1+C284/12),0)))),MAX(1,E284-1)))</f>
        <v>101</v>
      </c>
      <c r="O284" s="70">
        <f t="shared" ca="1" si="93"/>
        <v>142266.59803560167</v>
      </c>
      <c r="P284" s="70">
        <f t="shared" ca="1" si="107"/>
        <v>16077927.87622565</v>
      </c>
      <c r="Q284" s="70">
        <f ca="1">IF(OR(A284&gt;入力設定!$B$6*12,P284+AC284&lt;0.000001),0,IF(P284&lt;0.000001,Q283,IF(AE284=1,IF(C284=0,P284/MAX(1,入力設定!$B$6*12-A284+1),P284*(C284/12)/(1-(1+C284/12)^(-MAX(1,入力設定!$B$6*12-A284+1)))),Q283)))</f>
        <v>150233.43899513036</v>
      </c>
      <c r="R284" s="70">
        <f ca="1">IF(P284+AC284&lt;0.000001,0,IF(A284=入力設定!$B$6*12,P284+AB284+AC284,MIN(Q284,P284+AB284+AC284)))</f>
        <v>150233.43899513036</v>
      </c>
      <c r="S284" s="70">
        <f t="shared" ca="1" si="94"/>
        <v>66991.366150940215</v>
      </c>
      <c r="T284" s="70">
        <f t="shared" ca="1" si="95"/>
        <v>83242.072844190145</v>
      </c>
      <c r="U284" s="70">
        <f t="shared" ca="1" si="96"/>
        <v>15994685.80338146</v>
      </c>
      <c r="V284" s="70">
        <f t="shared" ca="1" si="97"/>
        <v>0</v>
      </c>
      <c r="W284" s="70">
        <f t="shared" ca="1" si="98"/>
        <v>0</v>
      </c>
      <c r="X284" s="70">
        <f t="shared" ca="1" si="99"/>
        <v>0</v>
      </c>
      <c r="Y284" s="71">
        <f t="shared" ca="1" si="100"/>
        <v>49174.834330554761</v>
      </c>
      <c r="Z284" s="71">
        <f t="shared" ca="1" si="108"/>
        <v>0</v>
      </c>
      <c r="AA284" s="71">
        <f t="shared" ca="1" si="101"/>
        <v>0</v>
      </c>
      <c r="AB284" s="71">
        <f t="shared" ca="1" si="102"/>
        <v>66991.366150940215</v>
      </c>
      <c r="AC284" s="71">
        <f t="shared" ca="1" si="109"/>
        <v>0</v>
      </c>
      <c r="AD284" s="71">
        <f t="shared" ca="1" si="103"/>
        <v>0</v>
      </c>
      <c r="AE284" s="72">
        <f t="shared" si="104"/>
        <v>0</v>
      </c>
      <c r="AF284" s="73">
        <f>IF(A284&gt;入力設定!$B$6*12,0,IF(AND(ISNUMBER(C284),C284&gt;=0,C284&lt;=1),0,1))</f>
        <v>0</v>
      </c>
    </row>
    <row r="285" spans="1:32" ht="21" customHeight="1">
      <c r="A285" s="68">
        <f>280</f>
        <v>280</v>
      </c>
      <c r="B285" s="69">
        <f>EDATE(入力設定!$B$7,A285-1)</f>
        <v>54820</v>
      </c>
      <c r="C285" s="80">
        <f>INDEX(入力設定!$C$15:$C$24,INT((A285-1)/60)+1)</f>
        <v>0.05</v>
      </c>
      <c r="D285" s="70">
        <f t="shared" ca="1" si="105"/>
        <v>11708868.475628095</v>
      </c>
      <c r="E285" s="70">
        <f t="shared" ca="1" si="106"/>
        <v>101</v>
      </c>
      <c r="F285" s="70">
        <f ca="1">IF(D285+Z285&lt;0.000001,0,IF(D285&lt;0.000001,F284,IF(OR(AE285=1,AND(K284&gt;0,入力設定!$B$8="返済額軽減型",入力設定!$B$11="翌月")),IF(C285=0,D285/MAX(1,E285),D285*(C285/12)/(1-(1+C285/12)^(-MAX(1,E285)))),F284)))</f>
        <v>142266.59803560167</v>
      </c>
      <c r="G285" s="70">
        <f t="shared" ca="1" si="88"/>
        <v>142266.59803560167</v>
      </c>
      <c r="H285" s="70">
        <f t="shared" ca="1" si="89"/>
        <v>48786.951981783728</v>
      </c>
      <c r="I285" s="70">
        <f t="shared" ca="1" si="90"/>
        <v>93479.646053817938</v>
      </c>
      <c r="J285" s="70">
        <f>SUMIFS(入力設定!$G$5:$G$24,入力設定!$F$5:$F$24,A285)</f>
        <v>0</v>
      </c>
      <c r="K285" s="70">
        <f t="shared" ca="1" si="91"/>
        <v>0</v>
      </c>
      <c r="L285" s="70">
        <f ca="1">IF(K285&gt;0,入力設定!$B$9,0)</f>
        <v>0</v>
      </c>
      <c r="M285" s="70">
        <f t="shared" ca="1" si="92"/>
        <v>11615388.829574278</v>
      </c>
      <c r="N285" s="70">
        <f ca="1">IF(M285+AA285&lt;0.000001,0,IF(AND(K285&gt;0,入力設定!$B$8="期間短縮型",AA285&lt;0.000001,F285&gt;M285*C285/12),MAX(1,MIN(E285-1,IF(C285=0,ROUNDUP(M285/F285,0),ROUNDUP(-LN(1-M285*(C285/12)/F285)/LN(1+C285/12),0)))),MAX(1,E285-1)))</f>
        <v>100</v>
      </c>
      <c r="O285" s="70">
        <f t="shared" ca="1" si="93"/>
        <v>142266.59803560167</v>
      </c>
      <c r="P285" s="70">
        <f t="shared" ca="1" si="107"/>
        <v>15994685.80338146</v>
      </c>
      <c r="Q285" s="70">
        <f ca="1">IF(OR(A285&gt;入力設定!$B$6*12,P285+AC285&lt;0.000001),0,IF(P285&lt;0.000001,Q284,IF(AE285=1,IF(C285=0,P285/MAX(1,入力設定!$B$6*12-A285+1),P285*(C285/12)/(1-(1+C285/12)^(-MAX(1,入力設定!$B$6*12-A285+1)))),Q284)))</f>
        <v>150233.43899513036</v>
      </c>
      <c r="R285" s="70">
        <f ca="1">IF(P285+AC285&lt;0.000001,0,IF(A285=入力設定!$B$6*12,P285+AB285+AC285,MIN(Q285,P285+AB285+AC285)))</f>
        <v>150233.43899513036</v>
      </c>
      <c r="S285" s="70">
        <f t="shared" ca="1" si="94"/>
        <v>66644.524180756081</v>
      </c>
      <c r="T285" s="70">
        <f t="shared" ca="1" si="95"/>
        <v>83588.914814374279</v>
      </c>
      <c r="U285" s="70">
        <f t="shared" ca="1" si="96"/>
        <v>15911096.888567086</v>
      </c>
      <c r="V285" s="70">
        <f t="shared" ca="1" si="97"/>
        <v>0</v>
      </c>
      <c r="W285" s="70">
        <f t="shared" ca="1" si="98"/>
        <v>0</v>
      </c>
      <c r="X285" s="70">
        <f t="shared" ca="1" si="99"/>
        <v>0</v>
      </c>
      <c r="Y285" s="71">
        <f t="shared" ca="1" si="100"/>
        <v>48786.951981783728</v>
      </c>
      <c r="Z285" s="71">
        <f t="shared" ca="1" si="108"/>
        <v>0</v>
      </c>
      <c r="AA285" s="71">
        <f t="shared" ca="1" si="101"/>
        <v>0</v>
      </c>
      <c r="AB285" s="71">
        <f t="shared" ca="1" si="102"/>
        <v>66644.524180756081</v>
      </c>
      <c r="AC285" s="71">
        <f t="shared" ca="1" si="109"/>
        <v>0</v>
      </c>
      <c r="AD285" s="71">
        <f t="shared" ca="1" si="103"/>
        <v>0</v>
      </c>
      <c r="AE285" s="72">
        <f t="shared" si="104"/>
        <v>0</v>
      </c>
      <c r="AF285" s="73">
        <f>IF(A285&gt;入力設定!$B$6*12,0,IF(AND(ISNUMBER(C285),C285&gt;=0,C285&lt;=1),0,1))</f>
        <v>0</v>
      </c>
    </row>
    <row r="286" spans="1:32" ht="21" customHeight="1">
      <c r="A286" s="68">
        <f>281</f>
        <v>281</v>
      </c>
      <c r="B286" s="69">
        <f>EDATE(入力設定!$B$7,A286-1)</f>
        <v>54848</v>
      </c>
      <c r="C286" s="80">
        <f>INDEX(入力設定!$C$15:$C$24,INT((A286-1)/60)+1)</f>
        <v>0.05</v>
      </c>
      <c r="D286" s="70">
        <f t="shared" ca="1" si="105"/>
        <v>11615388.829574278</v>
      </c>
      <c r="E286" s="70">
        <f t="shared" ca="1" si="106"/>
        <v>100</v>
      </c>
      <c r="F286" s="70">
        <f ca="1">IF(D286+Z286&lt;0.000001,0,IF(D286&lt;0.000001,F285,IF(OR(AE286=1,AND(K285&gt;0,入力設定!$B$8="返済額軽減型",入力設定!$B$11="翌月")),IF(C286=0,D286/MAX(1,E286),D286*(C286/12)/(1-(1+C286/12)^(-MAX(1,E286)))),F285)))</f>
        <v>142266.59803560167</v>
      </c>
      <c r="G286" s="70">
        <f t="shared" ca="1" si="88"/>
        <v>142266.59803560167</v>
      </c>
      <c r="H286" s="70">
        <f t="shared" ca="1" si="89"/>
        <v>48397.453456559488</v>
      </c>
      <c r="I286" s="70">
        <f t="shared" ca="1" si="90"/>
        <v>93869.144579042186</v>
      </c>
      <c r="J286" s="70">
        <f>SUMIFS(入力設定!$G$5:$G$24,入力設定!$F$5:$F$24,A286)</f>
        <v>0</v>
      </c>
      <c r="K286" s="70">
        <f t="shared" ca="1" si="91"/>
        <v>0</v>
      </c>
      <c r="L286" s="70">
        <f ca="1">IF(K286&gt;0,入力設定!$B$9,0)</f>
        <v>0</v>
      </c>
      <c r="M286" s="70">
        <f t="shared" ca="1" si="92"/>
        <v>11521519.684995236</v>
      </c>
      <c r="N286" s="70">
        <f ca="1">IF(M286+AA286&lt;0.000001,0,IF(AND(K286&gt;0,入力設定!$B$8="期間短縮型",AA286&lt;0.000001,F286&gt;M286*C286/12),MAX(1,MIN(E286-1,IF(C286=0,ROUNDUP(M286/F286,0),ROUNDUP(-LN(1-M286*(C286/12)/F286)/LN(1+C286/12),0)))),MAX(1,E286-1)))</f>
        <v>99</v>
      </c>
      <c r="O286" s="70">
        <f t="shared" ca="1" si="93"/>
        <v>142266.59803560167</v>
      </c>
      <c r="P286" s="70">
        <f t="shared" ca="1" si="107"/>
        <v>15911096.888567086</v>
      </c>
      <c r="Q286" s="70">
        <f ca="1">IF(OR(A286&gt;入力設定!$B$6*12,P286+AC286&lt;0.000001),0,IF(P286&lt;0.000001,Q285,IF(AE286=1,IF(C286=0,P286/MAX(1,入力設定!$B$6*12-A286+1),P286*(C286/12)/(1-(1+C286/12)^(-MAX(1,入力設定!$B$6*12-A286+1)))),Q285)))</f>
        <v>150233.43899513036</v>
      </c>
      <c r="R286" s="70">
        <f ca="1">IF(P286+AC286&lt;0.000001,0,IF(A286=入力設定!$B$6*12,P286+AB286+AC286,MIN(Q286,P286+AB286+AC286)))</f>
        <v>150233.43899513036</v>
      </c>
      <c r="S286" s="70">
        <f t="shared" ca="1" si="94"/>
        <v>66296.237035696206</v>
      </c>
      <c r="T286" s="70">
        <f t="shared" ca="1" si="95"/>
        <v>83937.201959434155</v>
      </c>
      <c r="U286" s="70">
        <f t="shared" ca="1" si="96"/>
        <v>15827159.686607651</v>
      </c>
      <c r="V286" s="70">
        <f t="shared" ca="1" si="97"/>
        <v>0</v>
      </c>
      <c r="W286" s="70">
        <f t="shared" ca="1" si="98"/>
        <v>0</v>
      </c>
      <c r="X286" s="70">
        <f t="shared" ca="1" si="99"/>
        <v>0</v>
      </c>
      <c r="Y286" s="71">
        <f t="shared" ca="1" si="100"/>
        <v>48397.453456559488</v>
      </c>
      <c r="Z286" s="71">
        <f t="shared" ca="1" si="108"/>
        <v>0</v>
      </c>
      <c r="AA286" s="71">
        <f t="shared" ca="1" si="101"/>
        <v>0</v>
      </c>
      <c r="AB286" s="71">
        <f t="shared" ca="1" si="102"/>
        <v>66296.237035696206</v>
      </c>
      <c r="AC286" s="71">
        <f t="shared" ca="1" si="109"/>
        <v>0</v>
      </c>
      <c r="AD286" s="71">
        <f t="shared" ca="1" si="103"/>
        <v>0</v>
      </c>
      <c r="AE286" s="72">
        <f t="shared" si="104"/>
        <v>0</v>
      </c>
      <c r="AF286" s="73">
        <f>IF(A286&gt;入力設定!$B$6*12,0,IF(AND(ISNUMBER(C286),C286&gt;=0,C286&lt;=1),0,1))</f>
        <v>0</v>
      </c>
    </row>
    <row r="287" spans="1:32" ht="21" customHeight="1">
      <c r="A287" s="68">
        <f>282</f>
        <v>282</v>
      </c>
      <c r="B287" s="69">
        <f>EDATE(入力設定!$B$7,A287-1)</f>
        <v>54879</v>
      </c>
      <c r="C287" s="80">
        <f>INDEX(入力設定!$C$15:$C$24,INT((A287-1)/60)+1)</f>
        <v>0.05</v>
      </c>
      <c r="D287" s="70">
        <f t="shared" ca="1" si="105"/>
        <v>11521519.684995236</v>
      </c>
      <c r="E287" s="70">
        <f t="shared" ca="1" si="106"/>
        <v>99</v>
      </c>
      <c r="F287" s="70">
        <f ca="1">IF(D287+Z287&lt;0.000001,0,IF(D287&lt;0.000001,F286,IF(OR(AE287=1,AND(K286&gt;0,入力設定!$B$8="返済額軽減型",入力設定!$B$11="翌月")),IF(C287=0,D287/MAX(1,E287),D287*(C287/12)/(1-(1+C287/12)^(-MAX(1,E287)))),F286)))</f>
        <v>142266.59803560167</v>
      </c>
      <c r="G287" s="70">
        <f t="shared" ca="1" si="88"/>
        <v>142266.59803560167</v>
      </c>
      <c r="H287" s="70">
        <f t="shared" ca="1" si="89"/>
        <v>48006.332020813483</v>
      </c>
      <c r="I287" s="70">
        <f t="shared" ca="1" si="90"/>
        <v>94260.266014788183</v>
      </c>
      <c r="J287" s="70">
        <f>SUMIFS(入力設定!$G$5:$G$24,入力設定!$F$5:$F$24,A287)</f>
        <v>0</v>
      </c>
      <c r="K287" s="70">
        <f t="shared" ca="1" si="91"/>
        <v>0</v>
      </c>
      <c r="L287" s="70">
        <f ca="1">IF(K287&gt;0,入力設定!$B$9,0)</f>
        <v>0</v>
      </c>
      <c r="M287" s="70">
        <f t="shared" ca="1" si="92"/>
        <v>11427259.418980448</v>
      </c>
      <c r="N287" s="70">
        <f ca="1">IF(M287+AA287&lt;0.000001,0,IF(AND(K287&gt;0,入力設定!$B$8="期間短縮型",AA287&lt;0.000001,F287&gt;M287*C287/12),MAX(1,MIN(E287-1,IF(C287=0,ROUNDUP(M287/F287,0),ROUNDUP(-LN(1-M287*(C287/12)/F287)/LN(1+C287/12),0)))),MAX(1,E287-1)))</f>
        <v>98</v>
      </c>
      <c r="O287" s="70">
        <f t="shared" ca="1" si="93"/>
        <v>142266.59803560167</v>
      </c>
      <c r="P287" s="70">
        <f t="shared" ca="1" si="107"/>
        <v>15827159.686607651</v>
      </c>
      <c r="Q287" s="70">
        <f ca="1">IF(OR(A287&gt;入力設定!$B$6*12,P287+AC287&lt;0.000001),0,IF(P287&lt;0.000001,Q286,IF(AE287=1,IF(C287=0,P287/MAX(1,入力設定!$B$6*12-A287+1),P287*(C287/12)/(1-(1+C287/12)^(-MAX(1,入力設定!$B$6*12-A287+1)))),Q286)))</f>
        <v>150233.43899513036</v>
      </c>
      <c r="R287" s="70">
        <f ca="1">IF(P287+AC287&lt;0.000001,0,IF(A287=入力設定!$B$6*12,P287+AB287+AC287,MIN(Q287,P287+AB287+AC287)))</f>
        <v>150233.43899513036</v>
      </c>
      <c r="S287" s="70">
        <f t="shared" ca="1" si="94"/>
        <v>65946.498694198555</v>
      </c>
      <c r="T287" s="70">
        <f t="shared" ca="1" si="95"/>
        <v>84286.940300931805</v>
      </c>
      <c r="U287" s="70">
        <f t="shared" ca="1" si="96"/>
        <v>15742872.746306719</v>
      </c>
      <c r="V287" s="70">
        <f t="shared" ca="1" si="97"/>
        <v>0</v>
      </c>
      <c r="W287" s="70">
        <f t="shared" ca="1" si="98"/>
        <v>0</v>
      </c>
      <c r="X287" s="70">
        <f t="shared" ca="1" si="99"/>
        <v>0</v>
      </c>
      <c r="Y287" s="71">
        <f t="shared" ca="1" si="100"/>
        <v>48006.332020813483</v>
      </c>
      <c r="Z287" s="71">
        <f t="shared" ca="1" si="108"/>
        <v>0</v>
      </c>
      <c r="AA287" s="71">
        <f t="shared" ca="1" si="101"/>
        <v>0</v>
      </c>
      <c r="AB287" s="71">
        <f t="shared" ca="1" si="102"/>
        <v>65946.498694198555</v>
      </c>
      <c r="AC287" s="71">
        <f t="shared" ca="1" si="109"/>
        <v>0</v>
      </c>
      <c r="AD287" s="71">
        <f t="shared" ca="1" si="103"/>
        <v>0</v>
      </c>
      <c r="AE287" s="72">
        <f t="shared" si="104"/>
        <v>0</v>
      </c>
      <c r="AF287" s="73">
        <f>IF(A287&gt;入力設定!$B$6*12,0,IF(AND(ISNUMBER(C287),C287&gt;=0,C287&lt;=1),0,1))</f>
        <v>0</v>
      </c>
    </row>
    <row r="288" spans="1:32" ht="21" customHeight="1">
      <c r="A288" s="68">
        <f>283</f>
        <v>283</v>
      </c>
      <c r="B288" s="69">
        <f>EDATE(入力設定!$B$7,A288-1)</f>
        <v>54909</v>
      </c>
      <c r="C288" s="80">
        <f>INDEX(入力設定!$C$15:$C$24,INT((A288-1)/60)+1)</f>
        <v>0.05</v>
      </c>
      <c r="D288" s="70">
        <f t="shared" ca="1" si="105"/>
        <v>11427259.418980448</v>
      </c>
      <c r="E288" s="70">
        <f t="shared" ca="1" si="106"/>
        <v>98</v>
      </c>
      <c r="F288" s="70">
        <f ca="1">IF(D288+Z288&lt;0.000001,0,IF(D288&lt;0.000001,F287,IF(OR(AE288=1,AND(K287&gt;0,入力設定!$B$8="返済額軽減型",入力設定!$B$11="翌月")),IF(C288=0,D288/MAX(1,E288),D288*(C288/12)/(1-(1+C288/12)^(-MAX(1,E288)))),F287)))</f>
        <v>142266.59803560167</v>
      </c>
      <c r="G288" s="70">
        <f t="shared" ca="1" si="88"/>
        <v>142266.59803560167</v>
      </c>
      <c r="H288" s="70">
        <f t="shared" ca="1" si="89"/>
        <v>47613.58091241854</v>
      </c>
      <c r="I288" s="70">
        <f t="shared" ca="1" si="90"/>
        <v>94653.017123183119</v>
      </c>
      <c r="J288" s="70">
        <f>SUMIFS(入力設定!$G$5:$G$24,入力設定!$F$5:$F$24,A288)</f>
        <v>0</v>
      </c>
      <c r="K288" s="70">
        <f t="shared" ca="1" si="91"/>
        <v>0</v>
      </c>
      <c r="L288" s="70">
        <f ca="1">IF(K288&gt;0,入力設定!$B$9,0)</f>
        <v>0</v>
      </c>
      <c r="M288" s="70">
        <f t="shared" ca="1" si="92"/>
        <v>11332606.401857264</v>
      </c>
      <c r="N288" s="70">
        <f ca="1">IF(M288+AA288&lt;0.000001,0,IF(AND(K288&gt;0,入力設定!$B$8="期間短縮型",AA288&lt;0.000001,F288&gt;M288*C288/12),MAX(1,MIN(E288-1,IF(C288=0,ROUNDUP(M288/F288,0),ROUNDUP(-LN(1-M288*(C288/12)/F288)/LN(1+C288/12),0)))),MAX(1,E288-1)))</f>
        <v>97</v>
      </c>
      <c r="O288" s="70">
        <f t="shared" ca="1" si="93"/>
        <v>142266.59803560167</v>
      </c>
      <c r="P288" s="70">
        <f t="shared" ca="1" si="107"/>
        <v>15742872.746306719</v>
      </c>
      <c r="Q288" s="70">
        <f ca="1">IF(OR(A288&gt;入力設定!$B$6*12,P288+AC288&lt;0.000001),0,IF(P288&lt;0.000001,Q287,IF(AE288=1,IF(C288=0,P288/MAX(1,入力設定!$B$6*12-A288+1),P288*(C288/12)/(1-(1+C288/12)^(-MAX(1,入力設定!$B$6*12-A288+1)))),Q287)))</f>
        <v>150233.43899513036</v>
      </c>
      <c r="R288" s="70">
        <f ca="1">IF(P288+AC288&lt;0.000001,0,IF(A288=入力設定!$B$6*12,P288+AB288+AC288,MIN(Q288,P288+AB288+AC288)))</f>
        <v>150233.43899513036</v>
      </c>
      <c r="S288" s="70">
        <f t="shared" ca="1" si="94"/>
        <v>65595.303109611341</v>
      </c>
      <c r="T288" s="70">
        <f t="shared" ca="1" si="95"/>
        <v>84638.135885519019</v>
      </c>
      <c r="U288" s="70">
        <f t="shared" ca="1" si="96"/>
        <v>15658234.610421199</v>
      </c>
      <c r="V288" s="70">
        <f t="shared" ca="1" si="97"/>
        <v>0</v>
      </c>
      <c r="W288" s="70">
        <f t="shared" ca="1" si="98"/>
        <v>0</v>
      </c>
      <c r="X288" s="70">
        <f t="shared" ca="1" si="99"/>
        <v>0</v>
      </c>
      <c r="Y288" s="71">
        <f t="shared" ca="1" si="100"/>
        <v>47613.58091241854</v>
      </c>
      <c r="Z288" s="71">
        <f t="shared" ca="1" si="108"/>
        <v>0</v>
      </c>
      <c r="AA288" s="71">
        <f t="shared" ca="1" si="101"/>
        <v>0</v>
      </c>
      <c r="AB288" s="71">
        <f t="shared" ca="1" si="102"/>
        <v>65595.303109611341</v>
      </c>
      <c r="AC288" s="71">
        <f t="shared" ca="1" si="109"/>
        <v>0</v>
      </c>
      <c r="AD288" s="71">
        <f t="shared" ca="1" si="103"/>
        <v>0</v>
      </c>
      <c r="AE288" s="72">
        <f t="shared" si="104"/>
        <v>0</v>
      </c>
      <c r="AF288" s="73">
        <f>IF(A288&gt;入力設定!$B$6*12,0,IF(AND(ISNUMBER(C288),C288&gt;=0,C288&lt;=1),0,1))</f>
        <v>0</v>
      </c>
    </row>
    <row r="289" spans="1:32" ht="21" customHeight="1">
      <c r="A289" s="68">
        <f>284</f>
        <v>284</v>
      </c>
      <c r="B289" s="69">
        <f>EDATE(入力設定!$B$7,A289-1)</f>
        <v>54940</v>
      </c>
      <c r="C289" s="80">
        <f>INDEX(入力設定!$C$15:$C$24,INT((A289-1)/60)+1)</f>
        <v>0.05</v>
      </c>
      <c r="D289" s="70">
        <f t="shared" ca="1" si="105"/>
        <v>11332606.401857264</v>
      </c>
      <c r="E289" s="70">
        <f t="shared" ca="1" si="106"/>
        <v>97</v>
      </c>
      <c r="F289" s="70">
        <f ca="1">IF(D289+Z289&lt;0.000001,0,IF(D289&lt;0.000001,F288,IF(OR(AE289=1,AND(K288&gt;0,入力設定!$B$8="返済額軽減型",入力設定!$B$11="翌月")),IF(C289=0,D289/MAX(1,E289),D289*(C289/12)/(1-(1+C289/12)^(-MAX(1,E289)))),F288)))</f>
        <v>142266.59803560167</v>
      </c>
      <c r="G289" s="70">
        <f t="shared" ca="1" si="88"/>
        <v>142266.59803560167</v>
      </c>
      <c r="H289" s="70">
        <f t="shared" ca="1" si="89"/>
        <v>47219.193341071943</v>
      </c>
      <c r="I289" s="70">
        <f t="shared" ca="1" si="90"/>
        <v>95047.404694529716</v>
      </c>
      <c r="J289" s="70">
        <f>SUMIFS(入力設定!$G$5:$G$24,入力設定!$F$5:$F$24,A289)</f>
        <v>0</v>
      </c>
      <c r="K289" s="70">
        <f t="shared" ca="1" si="91"/>
        <v>0</v>
      </c>
      <c r="L289" s="70">
        <f ca="1">IF(K289&gt;0,入力設定!$B$9,0)</f>
        <v>0</v>
      </c>
      <c r="M289" s="70">
        <f t="shared" ca="1" si="92"/>
        <v>11237558.997162735</v>
      </c>
      <c r="N289" s="70">
        <f ca="1">IF(M289+AA289&lt;0.000001,0,IF(AND(K289&gt;0,入力設定!$B$8="期間短縮型",AA289&lt;0.000001,F289&gt;M289*C289/12),MAX(1,MIN(E289-1,IF(C289=0,ROUNDUP(M289/F289,0),ROUNDUP(-LN(1-M289*(C289/12)/F289)/LN(1+C289/12),0)))),MAX(1,E289-1)))</f>
        <v>96</v>
      </c>
      <c r="O289" s="70">
        <f t="shared" ca="1" si="93"/>
        <v>142266.59803560167</v>
      </c>
      <c r="P289" s="70">
        <f t="shared" ca="1" si="107"/>
        <v>15658234.610421199</v>
      </c>
      <c r="Q289" s="70">
        <f ca="1">IF(OR(A289&gt;入力設定!$B$6*12,P289+AC289&lt;0.000001),0,IF(P289&lt;0.000001,Q288,IF(AE289=1,IF(C289=0,P289/MAX(1,入力設定!$B$6*12-A289+1),P289*(C289/12)/(1-(1+C289/12)^(-MAX(1,入力設定!$B$6*12-A289+1)))),Q288)))</f>
        <v>150233.43899513036</v>
      </c>
      <c r="R289" s="70">
        <f ca="1">IF(P289+AC289&lt;0.000001,0,IF(A289=入力設定!$B$6*12,P289+AB289+AC289,MIN(Q289,P289+AB289+AC289)))</f>
        <v>150233.43899513036</v>
      </c>
      <c r="S289" s="70">
        <f t="shared" ca="1" si="94"/>
        <v>65242.644210088336</v>
      </c>
      <c r="T289" s="70">
        <f t="shared" ca="1" si="95"/>
        <v>84990.794785042031</v>
      </c>
      <c r="U289" s="70">
        <f t="shared" ca="1" si="96"/>
        <v>15573243.815636158</v>
      </c>
      <c r="V289" s="70">
        <f t="shared" ca="1" si="97"/>
        <v>0</v>
      </c>
      <c r="W289" s="70">
        <f t="shared" ca="1" si="98"/>
        <v>0</v>
      </c>
      <c r="X289" s="70">
        <f t="shared" ca="1" si="99"/>
        <v>0</v>
      </c>
      <c r="Y289" s="71">
        <f t="shared" ca="1" si="100"/>
        <v>47219.193341071943</v>
      </c>
      <c r="Z289" s="71">
        <f t="shared" ca="1" si="108"/>
        <v>0</v>
      </c>
      <c r="AA289" s="71">
        <f t="shared" ca="1" si="101"/>
        <v>0</v>
      </c>
      <c r="AB289" s="71">
        <f t="shared" ca="1" si="102"/>
        <v>65242.644210088336</v>
      </c>
      <c r="AC289" s="71">
        <f t="shared" ca="1" si="109"/>
        <v>0</v>
      </c>
      <c r="AD289" s="71">
        <f t="shared" ca="1" si="103"/>
        <v>0</v>
      </c>
      <c r="AE289" s="72">
        <f t="shared" si="104"/>
        <v>0</v>
      </c>
      <c r="AF289" s="73">
        <f>IF(A289&gt;入力設定!$B$6*12,0,IF(AND(ISNUMBER(C289),C289&gt;=0,C289&lt;=1),0,1))</f>
        <v>0</v>
      </c>
    </row>
    <row r="290" spans="1:32" ht="21" customHeight="1">
      <c r="A290" s="68">
        <f>285</f>
        <v>285</v>
      </c>
      <c r="B290" s="69">
        <f>EDATE(入力設定!$B$7,A290-1)</f>
        <v>54970</v>
      </c>
      <c r="C290" s="80">
        <f>INDEX(入力設定!$C$15:$C$24,INT((A290-1)/60)+1)</f>
        <v>0.05</v>
      </c>
      <c r="D290" s="70">
        <f t="shared" ca="1" si="105"/>
        <v>11237558.997162735</v>
      </c>
      <c r="E290" s="70">
        <f t="shared" ca="1" si="106"/>
        <v>96</v>
      </c>
      <c r="F290" s="70">
        <f ca="1">IF(D290+Z290&lt;0.000001,0,IF(D290&lt;0.000001,F289,IF(OR(AE290=1,AND(K289&gt;0,入力設定!$B$8="返済額軽減型",入力設定!$B$11="翌月")),IF(C290=0,D290/MAX(1,E290),D290*(C290/12)/(1-(1+C290/12)^(-MAX(1,E290)))),F289)))</f>
        <v>142266.59803560167</v>
      </c>
      <c r="G290" s="70">
        <f t="shared" ca="1" si="88"/>
        <v>142266.59803560167</v>
      </c>
      <c r="H290" s="70">
        <f t="shared" ca="1" si="89"/>
        <v>46823.162488178066</v>
      </c>
      <c r="I290" s="70">
        <f t="shared" ca="1" si="90"/>
        <v>95443.435547423607</v>
      </c>
      <c r="J290" s="70">
        <f>SUMIFS(入力設定!$G$5:$G$24,入力設定!$F$5:$F$24,A290)</f>
        <v>0</v>
      </c>
      <c r="K290" s="70">
        <f t="shared" ca="1" si="91"/>
        <v>0</v>
      </c>
      <c r="L290" s="70">
        <f ca="1">IF(K290&gt;0,入力設定!$B$9,0)</f>
        <v>0</v>
      </c>
      <c r="M290" s="70">
        <f t="shared" ca="1" si="92"/>
        <v>11142115.561615311</v>
      </c>
      <c r="N290" s="70">
        <f ca="1">IF(M290+AA290&lt;0.000001,0,IF(AND(K290&gt;0,入力設定!$B$8="期間短縮型",AA290&lt;0.000001,F290&gt;M290*C290/12),MAX(1,MIN(E290-1,IF(C290=0,ROUNDUP(M290/F290,0),ROUNDUP(-LN(1-M290*(C290/12)/F290)/LN(1+C290/12),0)))),MAX(1,E290-1)))</f>
        <v>95</v>
      </c>
      <c r="O290" s="70">
        <f t="shared" ca="1" si="93"/>
        <v>142266.59803560167</v>
      </c>
      <c r="P290" s="70">
        <f t="shared" ca="1" si="107"/>
        <v>15573243.815636158</v>
      </c>
      <c r="Q290" s="70">
        <f ca="1">IF(OR(A290&gt;入力設定!$B$6*12,P290+AC290&lt;0.000001),0,IF(P290&lt;0.000001,Q289,IF(AE290=1,IF(C290=0,P290/MAX(1,入力設定!$B$6*12-A290+1),P290*(C290/12)/(1-(1+C290/12)^(-MAX(1,入力設定!$B$6*12-A290+1)))),Q289)))</f>
        <v>150233.43899513036</v>
      </c>
      <c r="R290" s="70">
        <f ca="1">IF(P290+AC290&lt;0.000001,0,IF(A290=入力設定!$B$6*12,P290+AB290+AC290,MIN(Q290,P290+AB290+AC290)))</f>
        <v>150233.43899513036</v>
      </c>
      <c r="S290" s="70">
        <f t="shared" ca="1" si="94"/>
        <v>64888.515898484002</v>
      </c>
      <c r="T290" s="70">
        <f t="shared" ca="1" si="95"/>
        <v>85344.923096646351</v>
      </c>
      <c r="U290" s="70">
        <f t="shared" ca="1" si="96"/>
        <v>15487898.892539512</v>
      </c>
      <c r="V290" s="70">
        <f t="shared" ca="1" si="97"/>
        <v>0</v>
      </c>
      <c r="W290" s="70">
        <f t="shared" ca="1" si="98"/>
        <v>0</v>
      </c>
      <c r="X290" s="70">
        <f t="shared" ca="1" si="99"/>
        <v>0</v>
      </c>
      <c r="Y290" s="71">
        <f t="shared" ca="1" si="100"/>
        <v>46823.162488178066</v>
      </c>
      <c r="Z290" s="71">
        <f t="shared" ca="1" si="108"/>
        <v>0</v>
      </c>
      <c r="AA290" s="71">
        <f t="shared" ca="1" si="101"/>
        <v>0</v>
      </c>
      <c r="AB290" s="71">
        <f t="shared" ca="1" si="102"/>
        <v>64888.515898484002</v>
      </c>
      <c r="AC290" s="71">
        <f t="shared" ca="1" si="109"/>
        <v>0</v>
      </c>
      <c r="AD290" s="71">
        <f t="shared" ca="1" si="103"/>
        <v>0</v>
      </c>
      <c r="AE290" s="72">
        <f t="shared" si="104"/>
        <v>0</v>
      </c>
      <c r="AF290" s="73">
        <f>IF(A290&gt;入力設定!$B$6*12,0,IF(AND(ISNUMBER(C290),C290&gt;=0,C290&lt;=1),0,1))</f>
        <v>0</v>
      </c>
    </row>
    <row r="291" spans="1:32" ht="21" customHeight="1">
      <c r="A291" s="68">
        <f>286</f>
        <v>286</v>
      </c>
      <c r="B291" s="69">
        <f>EDATE(入力設定!$B$7,A291-1)</f>
        <v>55001</v>
      </c>
      <c r="C291" s="80">
        <f>INDEX(入力設定!$C$15:$C$24,INT((A291-1)/60)+1)</f>
        <v>0.05</v>
      </c>
      <c r="D291" s="70">
        <f t="shared" ca="1" si="105"/>
        <v>11142115.561615311</v>
      </c>
      <c r="E291" s="70">
        <f t="shared" ca="1" si="106"/>
        <v>95</v>
      </c>
      <c r="F291" s="70">
        <f ca="1">IF(D291+Z291&lt;0.000001,0,IF(D291&lt;0.000001,F290,IF(OR(AE291=1,AND(K290&gt;0,入力設定!$B$8="返済額軽減型",入力設定!$B$11="翌月")),IF(C291=0,D291/MAX(1,E291),D291*(C291/12)/(1-(1+C291/12)^(-MAX(1,E291)))),F290)))</f>
        <v>142266.59803560167</v>
      </c>
      <c r="G291" s="70">
        <f t="shared" ca="1" si="88"/>
        <v>142266.59803560167</v>
      </c>
      <c r="H291" s="70">
        <f t="shared" ca="1" si="89"/>
        <v>46425.481506730459</v>
      </c>
      <c r="I291" s="70">
        <f t="shared" ca="1" si="90"/>
        <v>95841.116528871207</v>
      </c>
      <c r="J291" s="70">
        <f>SUMIFS(入力設定!$G$5:$G$24,入力設定!$F$5:$F$24,A291)</f>
        <v>0</v>
      </c>
      <c r="K291" s="70">
        <f t="shared" ca="1" si="91"/>
        <v>0</v>
      </c>
      <c r="L291" s="70">
        <f ca="1">IF(K291&gt;0,入力設定!$B$9,0)</f>
        <v>0</v>
      </c>
      <c r="M291" s="70">
        <f t="shared" ca="1" si="92"/>
        <v>11046274.44508644</v>
      </c>
      <c r="N291" s="70">
        <f ca="1">IF(M291+AA291&lt;0.000001,0,IF(AND(K291&gt;0,入力設定!$B$8="期間短縮型",AA291&lt;0.000001,F291&gt;M291*C291/12),MAX(1,MIN(E291-1,IF(C291=0,ROUNDUP(M291/F291,0),ROUNDUP(-LN(1-M291*(C291/12)/F291)/LN(1+C291/12),0)))),MAX(1,E291-1)))</f>
        <v>94</v>
      </c>
      <c r="O291" s="70">
        <f t="shared" ca="1" si="93"/>
        <v>142266.59803560167</v>
      </c>
      <c r="P291" s="70">
        <f t="shared" ca="1" si="107"/>
        <v>15487898.892539512</v>
      </c>
      <c r="Q291" s="70">
        <f ca="1">IF(OR(A291&gt;入力設定!$B$6*12,P291+AC291&lt;0.000001),0,IF(P291&lt;0.000001,Q290,IF(AE291=1,IF(C291=0,P291/MAX(1,入力設定!$B$6*12-A291+1),P291*(C291/12)/(1-(1+C291/12)^(-MAX(1,入力設定!$B$6*12-A291+1)))),Q290)))</f>
        <v>150233.43899513036</v>
      </c>
      <c r="R291" s="70">
        <f ca="1">IF(P291+AC291&lt;0.000001,0,IF(A291=入力設定!$B$6*12,P291+AB291+AC291,MIN(Q291,P291+AB291+AC291)))</f>
        <v>150233.43899513036</v>
      </c>
      <c r="S291" s="70">
        <f t="shared" ca="1" si="94"/>
        <v>64532.912052247972</v>
      </c>
      <c r="T291" s="70">
        <f t="shared" ca="1" si="95"/>
        <v>85700.526942882396</v>
      </c>
      <c r="U291" s="70">
        <f t="shared" ca="1" si="96"/>
        <v>15402198.36559663</v>
      </c>
      <c r="V291" s="70">
        <f t="shared" ca="1" si="97"/>
        <v>0</v>
      </c>
      <c r="W291" s="70">
        <f t="shared" ca="1" si="98"/>
        <v>0</v>
      </c>
      <c r="X291" s="70">
        <f t="shared" ca="1" si="99"/>
        <v>0</v>
      </c>
      <c r="Y291" s="71">
        <f t="shared" ca="1" si="100"/>
        <v>46425.481506730459</v>
      </c>
      <c r="Z291" s="71">
        <f t="shared" ca="1" si="108"/>
        <v>0</v>
      </c>
      <c r="AA291" s="71">
        <f t="shared" ca="1" si="101"/>
        <v>0</v>
      </c>
      <c r="AB291" s="71">
        <f t="shared" ca="1" si="102"/>
        <v>64532.912052247972</v>
      </c>
      <c r="AC291" s="71">
        <f t="shared" ca="1" si="109"/>
        <v>0</v>
      </c>
      <c r="AD291" s="71">
        <f t="shared" ca="1" si="103"/>
        <v>0</v>
      </c>
      <c r="AE291" s="72">
        <f t="shared" si="104"/>
        <v>0</v>
      </c>
      <c r="AF291" s="73">
        <f>IF(A291&gt;入力設定!$B$6*12,0,IF(AND(ISNUMBER(C291),C291&gt;=0,C291&lt;=1),0,1))</f>
        <v>0</v>
      </c>
    </row>
    <row r="292" spans="1:32" ht="21" customHeight="1">
      <c r="A292" s="68">
        <f>287</f>
        <v>287</v>
      </c>
      <c r="B292" s="69">
        <f>EDATE(入力設定!$B$7,A292-1)</f>
        <v>55032</v>
      </c>
      <c r="C292" s="80">
        <f>INDEX(入力設定!$C$15:$C$24,INT((A292-1)/60)+1)</f>
        <v>0.05</v>
      </c>
      <c r="D292" s="70">
        <f t="shared" ca="1" si="105"/>
        <v>11046274.44508644</v>
      </c>
      <c r="E292" s="70">
        <f t="shared" ca="1" si="106"/>
        <v>94</v>
      </c>
      <c r="F292" s="70">
        <f ca="1">IF(D292+Z292&lt;0.000001,0,IF(D292&lt;0.000001,F291,IF(OR(AE292=1,AND(K291&gt;0,入力設定!$B$8="返済額軽減型",入力設定!$B$11="翌月")),IF(C292=0,D292/MAX(1,E292),D292*(C292/12)/(1-(1+C292/12)^(-MAX(1,E292)))),F291)))</f>
        <v>142266.59803560167</v>
      </c>
      <c r="G292" s="70">
        <f t="shared" ca="1" si="88"/>
        <v>142266.59803560167</v>
      </c>
      <c r="H292" s="70">
        <f t="shared" ca="1" si="89"/>
        <v>46026.143521193502</v>
      </c>
      <c r="I292" s="70">
        <f t="shared" ca="1" si="90"/>
        <v>96240.454514408164</v>
      </c>
      <c r="J292" s="70">
        <f>SUMIFS(入力設定!$G$5:$G$24,入力設定!$F$5:$F$24,A292)</f>
        <v>0</v>
      </c>
      <c r="K292" s="70">
        <f t="shared" ca="1" si="91"/>
        <v>0</v>
      </c>
      <c r="L292" s="70">
        <f ca="1">IF(K292&gt;0,入力設定!$B$9,0)</f>
        <v>0</v>
      </c>
      <c r="M292" s="70">
        <f t="shared" ca="1" si="92"/>
        <v>10950033.990572032</v>
      </c>
      <c r="N292" s="70">
        <f ca="1">IF(M292+AA292&lt;0.000001,0,IF(AND(K292&gt;0,入力設定!$B$8="期間短縮型",AA292&lt;0.000001,F292&gt;M292*C292/12),MAX(1,MIN(E292-1,IF(C292=0,ROUNDUP(M292/F292,0),ROUNDUP(-LN(1-M292*(C292/12)/F292)/LN(1+C292/12),0)))),MAX(1,E292-1)))</f>
        <v>93</v>
      </c>
      <c r="O292" s="70">
        <f t="shared" ca="1" si="93"/>
        <v>142266.59803560167</v>
      </c>
      <c r="P292" s="70">
        <f t="shared" ca="1" si="107"/>
        <v>15402198.36559663</v>
      </c>
      <c r="Q292" s="70">
        <f ca="1">IF(OR(A292&gt;入力設定!$B$6*12,P292+AC292&lt;0.000001),0,IF(P292&lt;0.000001,Q291,IF(AE292=1,IF(C292=0,P292/MAX(1,入力設定!$B$6*12-A292+1),P292*(C292/12)/(1-(1+C292/12)^(-MAX(1,入力設定!$B$6*12-A292+1)))),Q291)))</f>
        <v>150233.43899513036</v>
      </c>
      <c r="R292" s="70">
        <f ca="1">IF(P292+AC292&lt;0.000001,0,IF(A292=入力設定!$B$6*12,P292+AB292+AC292,MIN(Q292,P292+AB292+AC292)))</f>
        <v>150233.43899513036</v>
      </c>
      <c r="S292" s="70">
        <f t="shared" ca="1" si="94"/>
        <v>64175.826523319294</v>
      </c>
      <c r="T292" s="70">
        <f t="shared" ca="1" si="95"/>
        <v>86057.612471811066</v>
      </c>
      <c r="U292" s="70">
        <f t="shared" ca="1" si="96"/>
        <v>15316140.753124818</v>
      </c>
      <c r="V292" s="70">
        <f t="shared" ca="1" si="97"/>
        <v>0</v>
      </c>
      <c r="W292" s="70">
        <f t="shared" ca="1" si="98"/>
        <v>0</v>
      </c>
      <c r="X292" s="70">
        <f t="shared" ca="1" si="99"/>
        <v>0</v>
      </c>
      <c r="Y292" s="71">
        <f t="shared" ca="1" si="100"/>
        <v>46026.143521193502</v>
      </c>
      <c r="Z292" s="71">
        <f t="shared" ca="1" si="108"/>
        <v>0</v>
      </c>
      <c r="AA292" s="71">
        <f t="shared" ca="1" si="101"/>
        <v>0</v>
      </c>
      <c r="AB292" s="71">
        <f t="shared" ca="1" si="102"/>
        <v>64175.826523319294</v>
      </c>
      <c r="AC292" s="71">
        <f t="shared" ca="1" si="109"/>
        <v>0</v>
      </c>
      <c r="AD292" s="71">
        <f t="shared" ca="1" si="103"/>
        <v>0</v>
      </c>
      <c r="AE292" s="72">
        <f t="shared" si="104"/>
        <v>0</v>
      </c>
      <c r="AF292" s="73">
        <f>IF(A292&gt;入力設定!$B$6*12,0,IF(AND(ISNUMBER(C292),C292&gt;=0,C292&lt;=1),0,1))</f>
        <v>0</v>
      </c>
    </row>
    <row r="293" spans="1:32" ht="21" customHeight="1">
      <c r="A293" s="68">
        <f>288</f>
        <v>288</v>
      </c>
      <c r="B293" s="69">
        <f>EDATE(入力設定!$B$7,A293-1)</f>
        <v>55062</v>
      </c>
      <c r="C293" s="80">
        <f>INDEX(入力設定!$C$15:$C$24,INT((A293-1)/60)+1)</f>
        <v>0.05</v>
      </c>
      <c r="D293" s="70">
        <f t="shared" ca="1" si="105"/>
        <v>10950033.990572032</v>
      </c>
      <c r="E293" s="70">
        <f t="shared" ca="1" si="106"/>
        <v>93</v>
      </c>
      <c r="F293" s="70">
        <f ca="1">IF(D293+Z293&lt;0.000001,0,IF(D293&lt;0.000001,F292,IF(OR(AE293=1,AND(K292&gt;0,入力設定!$B$8="返済額軽減型",入力設定!$B$11="翌月")),IF(C293=0,D293/MAX(1,E293),D293*(C293/12)/(1-(1+C293/12)^(-MAX(1,E293)))),F292)))</f>
        <v>142266.59803560167</v>
      </c>
      <c r="G293" s="70">
        <f t="shared" ca="1" si="88"/>
        <v>142266.59803560167</v>
      </c>
      <c r="H293" s="70">
        <f t="shared" ca="1" si="89"/>
        <v>45625.141627383469</v>
      </c>
      <c r="I293" s="70">
        <f t="shared" ca="1" si="90"/>
        <v>96641.45640821819</v>
      </c>
      <c r="J293" s="70">
        <f>SUMIFS(入力設定!$G$5:$G$24,入力設定!$F$5:$F$24,A293)</f>
        <v>0</v>
      </c>
      <c r="K293" s="70">
        <f t="shared" ca="1" si="91"/>
        <v>0</v>
      </c>
      <c r="L293" s="70">
        <f ca="1">IF(K293&gt;0,入力設定!$B$9,0)</f>
        <v>0</v>
      </c>
      <c r="M293" s="70">
        <f t="shared" ca="1" si="92"/>
        <v>10853392.534163814</v>
      </c>
      <c r="N293" s="70">
        <f ca="1">IF(M293+AA293&lt;0.000001,0,IF(AND(K293&gt;0,入力設定!$B$8="期間短縮型",AA293&lt;0.000001,F293&gt;M293*C293/12),MAX(1,MIN(E293-1,IF(C293=0,ROUNDUP(M293/F293,0),ROUNDUP(-LN(1-M293*(C293/12)/F293)/LN(1+C293/12),0)))),MAX(1,E293-1)))</f>
        <v>92</v>
      </c>
      <c r="O293" s="70">
        <f t="shared" ca="1" si="93"/>
        <v>142266.59803560167</v>
      </c>
      <c r="P293" s="70">
        <f t="shared" ca="1" si="107"/>
        <v>15316140.753124818</v>
      </c>
      <c r="Q293" s="70">
        <f ca="1">IF(OR(A293&gt;入力設定!$B$6*12,P293+AC293&lt;0.000001),0,IF(P293&lt;0.000001,Q292,IF(AE293=1,IF(C293=0,P293/MAX(1,入力設定!$B$6*12-A293+1),P293*(C293/12)/(1-(1+C293/12)^(-MAX(1,入力設定!$B$6*12-A293+1)))),Q292)))</f>
        <v>150233.43899513036</v>
      </c>
      <c r="R293" s="70">
        <f ca="1">IF(P293+AC293&lt;0.000001,0,IF(A293=入力設定!$B$6*12,P293+AB293+AC293,MIN(Q293,P293+AB293+AC293)))</f>
        <v>150233.43899513036</v>
      </c>
      <c r="S293" s="70">
        <f t="shared" ca="1" si="94"/>
        <v>63817.253138020082</v>
      </c>
      <c r="T293" s="70">
        <f t="shared" ca="1" si="95"/>
        <v>86416.185857110278</v>
      </c>
      <c r="U293" s="70">
        <f t="shared" ca="1" si="96"/>
        <v>15229724.567267708</v>
      </c>
      <c r="V293" s="70">
        <f t="shared" ca="1" si="97"/>
        <v>0</v>
      </c>
      <c r="W293" s="70">
        <f t="shared" ca="1" si="98"/>
        <v>0</v>
      </c>
      <c r="X293" s="70">
        <f t="shared" ca="1" si="99"/>
        <v>0</v>
      </c>
      <c r="Y293" s="71">
        <f t="shared" ca="1" si="100"/>
        <v>45625.141627383469</v>
      </c>
      <c r="Z293" s="71">
        <f t="shared" ca="1" si="108"/>
        <v>0</v>
      </c>
      <c r="AA293" s="71">
        <f t="shared" ca="1" si="101"/>
        <v>0</v>
      </c>
      <c r="AB293" s="71">
        <f t="shared" ca="1" si="102"/>
        <v>63817.253138020082</v>
      </c>
      <c r="AC293" s="71">
        <f t="shared" ca="1" si="109"/>
        <v>0</v>
      </c>
      <c r="AD293" s="71">
        <f t="shared" ca="1" si="103"/>
        <v>0</v>
      </c>
      <c r="AE293" s="72">
        <f t="shared" si="104"/>
        <v>0</v>
      </c>
      <c r="AF293" s="73">
        <f>IF(A293&gt;入力設定!$B$6*12,0,IF(AND(ISNUMBER(C293),C293&gt;=0,C293&lt;=1),0,1))</f>
        <v>0</v>
      </c>
    </row>
    <row r="294" spans="1:32" ht="21" customHeight="1">
      <c r="A294" s="68">
        <f>289</f>
        <v>289</v>
      </c>
      <c r="B294" s="69">
        <f>EDATE(入力設定!$B$7,A294-1)</f>
        <v>55093</v>
      </c>
      <c r="C294" s="80">
        <f>INDEX(入力設定!$C$15:$C$24,INT((A294-1)/60)+1)</f>
        <v>0.05</v>
      </c>
      <c r="D294" s="70">
        <f t="shared" ca="1" si="105"/>
        <v>10853392.534163814</v>
      </c>
      <c r="E294" s="70">
        <f t="shared" ca="1" si="106"/>
        <v>92</v>
      </c>
      <c r="F294" s="70">
        <f ca="1">IF(D294+Z294&lt;0.000001,0,IF(D294&lt;0.000001,F293,IF(OR(AE294=1,AND(K293&gt;0,入力設定!$B$8="返済額軽減型",入力設定!$B$11="翌月")),IF(C294=0,D294/MAX(1,E294),D294*(C294/12)/(1-(1+C294/12)^(-MAX(1,E294)))),F293)))</f>
        <v>142266.59803560167</v>
      </c>
      <c r="G294" s="70">
        <f t="shared" ca="1" si="88"/>
        <v>142266.59803560167</v>
      </c>
      <c r="H294" s="70">
        <f t="shared" ca="1" si="89"/>
        <v>45222.468892349229</v>
      </c>
      <c r="I294" s="70">
        <f t="shared" ca="1" si="90"/>
        <v>97044.129143252445</v>
      </c>
      <c r="J294" s="70">
        <f>SUMIFS(入力設定!$G$5:$G$24,入力設定!$F$5:$F$24,A294)</f>
        <v>0</v>
      </c>
      <c r="K294" s="70">
        <f t="shared" ca="1" si="91"/>
        <v>0</v>
      </c>
      <c r="L294" s="70">
        <f ca="1">IF(K294&gt;0,入力設定!$B$9,0)</f>
        <v>0</v>
      </c>
      <c r="M294" s="70">
        <f t="shared" ca="1" si="92"/>
        <v>10756348.405020561</v>
      </c>
      <c r="N294" s="70">
        <f ca="1">IF(M294+AA294&lt;0.000001,0,IF(AND(K294&gt;0,入力設定!$B$8="期間短縮型",AA294&lt;0.000001,F294&gt;M294*C294/12),MAX(1,MIN(E294-1,IF(C294=0,ROUNDUP(M294/F294,0),ROUNDUP(-LN(1-M294*(C294/12)/F294)/LN(1+C294/12),0)))),MAX(1,E294-1)))</f>
        <v>91</v>
      </c>
      <c r="O294" s="70">
        <f t="shared" ca="1" si="93"/>
        <v>142266.59803560167</v>
      </c>
      <c r="P294" s="70">
        <f t="shared" ca="1" si="107"/>
        <v>15229724.567267708</v>
      </c>
      <c r="Q294" s="70">
        <f ca="1">IF(OR(A294&gt;入力設定!$B$6*12,P294+AC294&lt;0.000001),0,IF(P294&lt;0.000001,Q293,IF(AE294=1,IF(C294=0,P294/MAX(1,入力設定!$B$6*12-A294+1),P294*(C294/12)/(1-(1+C294/12)^(-MAX(1,入力設定!$B$6*12-A294+1)))),Q293)))</f>
        <v>150233.43899513036</v>
      </c>
      <c r="R294" s="70">
        <f ca="1">IF(P294+AC294&lt;0.000001,0,IF(A294=入力設定!$B$6*12,P294+AB294+AC294,MIN(Q294,P294+AB294+AC294)))</f>
        <v>150233.43899513036</v>
      </c>
      <c r="S294" s="70">
        <f t="shared" ca="1" si="94"/>
        <v>63457.185696948785</v>
      </c>
      <c r="T294" s="70">
        <f t="shared" ca="1" si="95"/>
        <v>86776.253298181575</v>
      </c>
      <c r="U294" s="70">
        <f t="shared" ca="1" si="96"/>
        <v>15142948.313969526</v>
      </c>
      <c r="V294" s="70">
        <f t="shared" ca="1" si="97"/>
        <v>0</v>
      </c>
      <c r="W294" s="70">
        <f t="shared" ca="1" si="98"/>
        <v>0</v>
      </c>
      <c r="X294" s="70">
        <f t="shared" ca="1" si="99"/>
        <v>0</v>
      </c>
      <c r="Y294" s="71">
        <f t="shared" ca="1" si="100"/>
        <v>45222.468892349229</v>
      </c>
      <c r="Z294" s="71">
        <f t="shared" ca="1" si="108"/>
        <v>0</v>
      </c>
      <c r="AA294" s="71">
        <f t="shared" ca="1" si="101"/>
        <v>0</v>
      </c>
      <c r="AB294" s="71">
        <f t="shared" ca="1" si="102"/>
        <v>63457.185696948785</v>
      </c>
      <c r="AC294" s="71">
        <f t="shared" ca="1" si="109"/>
        <v>0</v>
      </c>
      <c r="AD294" s="71">
        <f t="shared" ca="1" si="103"/>
        <v>0</v>
      </c>
      <c r="AE294" s="72">
        <f t="shared" si="104"/>
        <v>0</v>
      </c>
      <c r="AF294" s="73">
        <f>IF(A294&gt;入力設定!$B$6*12,0,IF(AND(ISNUMBER(C294),C294&gt;=0,C294&lt;=1),0,1))</f>
        <v>0</v>
      </c>
    </row>
    <row r="295" spans="1:32" ht="21" customHeight="1">
      <c r="A295" s="68">
        <f>290</f>
        <v>290</v>
      </c>
      <c r="B295" s="69">
        <f>EDATE(入力設定!$B$7,A295-1)</f>
        <v>55123</v>
      </c>
      <c r="C295" s="80">
        <f>INDEX(入力設定!$C$15:$C$24,INT((A295-1)/60)+1)</f>
        <v>0.05</v>
      </c>
      <c r="D295" s="70">
        <f t="shared" ca="1" si="105"/>
        <v>10756348.405020561</v>
      </c>
      <c r="E295" s="70">
        <f t="shared" ca="1" si="106"/>
        <v>91</v>
      </c>
      <c r="F295" s="70">
        <f ca="1">IF(D295+Z295&lt;0.000001,0,IF(D295&lt;0.000001,F294,IF(OR(AE295=1,AND(K294&gt;0,入力設定!$B$8="返済額軽減型",入力設定!$B$11="翌月")),IF(C295=0,D295/MAX(1,E295),D295*(C295/12)/(1-(1+C295/12)^(-MAX(1,E295)))),F294)))</f>
        <v>142266.59803560167</v>
      </c>
      <c r="G295" s="70">
        <f t="shared" ca="1" si="88"/>
        <v>142266.59803560167</v>
      </c>
      <c r="H295" s="70">
        <f t="shared" ca="1" si="89"/>
        <v>44818.118354252336</v>
      </c>
      <c r="I295" s="70">
        <f t="shared" ca="1" si="90"/>
        <v>97448.47968134933</v>
      </c>
      <c r="J295" s="70">
        <f>SUMIFS(入力設定!$G$5:$G$24,入力設定!$F$5:$F$24,A295)</f>
        <v>0</v>
      </c>
      <c r="K295" s="70">
        <f t="shared" ca="1" si="91"/>
        <v>0</v>
      </c>
      <c r="L295" s="70">
        <f ca="1">IF(K295&gt;0,入力設定!$B$9,0)</f>
        <v>0</v>
      </c>
      <c r="M295" s="70">
        <f t="shared" ca="1" si="92"/>
        <v>10658899.925339213</v>
      </c>
      <c r="N295" s="70">
        <f ca="1">IF(M295+AA295&lt;0.000001,0,IF(AND(K295&gt;0,入力設定!$B$8="期間短縮型",AA295&lt;0.000001,F295&gt;M295*C295/12),MAX(1,MIN(E295-1,IF(C295=0,ROUNDUP(M295/F295,0),ROUNDUP(-LN(1-M295*(C295/12)/F295)/LN(1+C295/12),0)))),MAX(1,E295-1)))</f>
        <v>90</v>
      </c>
      <c r="O295" s="70">
        <f t="shared" ca="1" si="93"/>
        <v>142266.59803560167</v>
      </c>
      <c r="P295" s="70">
        <f t="shared" ca="1" si="107"/>
        <v>15142948.313969526</v>
      </c>
      <c r="Q295" s="70">
        <f ca="1">IF(OR(A295&gt;入力設定!$B$6*12,P295+AC295&lt;0.000001),0,IF(P295&lt;0.000001,Q294,IF(AE295=1,IF(C295=0,P295/MAX(1,入力設定!$B$6*12-A295+1),P295*(C295/12)/(1-(1+C295/12)^(-MAX(1,入力設定!$B$6*12-A295+1)))),Q294)))</f>
        <v>150233.43899513036</v>
      </c>
      <c r="R295" s="70">
        <f ca="1">IF(P295+AC295&lt;0.000001,0,IF(A295=入力設定!$B$6*12,P295+AB295+AC295,MIN(Q295,P295+AB295+AC295)))</f>
        <v>150233.43899513036</v>
      </c>
      <c r="S295" s="70">
        <f t="shared" ca="1" si="94"/>
        <v>63095.617974873028</v>
      </c>
      <c r="T295" s="70">
        <f t="shared" ca="1" si="95"/>
        <v>87137.821020257339</v>
      </c>
      <c r="U295" s="70">
        <f t="shared" ca="1" si="96"/>
        <v>15055810.49294927</v>
      </c>
      <c r="V295" s="70">
        <f t="shared" ca="1" si="97"/>
        <v>0</v>
      </c>
      <c r="W295" s="70">
        <f t="shared" ca="1" si="98"/>
        <v>0</v>
      </c>
      <c r="X295" s="70">
        <f t="shared" ca="1" si="99"/>
        <v>0</v>
      </c>
      <c r="Y295" s="71">
        <f t="shared" ca="1" si="100"/>
        <v>44818.118354252336</v>
      </c>
      <c r="Z295" s="71">
        <f t="shared" ca="1" si="108"/>
        <v>0</v>
      </c>
      <c r="AA295" s="71">
        <f t="shared" ca="1" si="101"/>
        <v>0</v>
      </c>
      <c r="AB295" s="71">
        <f t="shared" ca="1" si="102"/>
        <v>63095.617974873028</v>
      </c>
      <c r="AC295" s="71">
        <f t="shared" ca="1" si="109"/>
        <v>0</v>
      </c>
      <c r="AD295" s="71">
        <f t="shared" ca="1" si="103"/>
        <v>0</v>
      </c>
      <c r="AE295" s="72">
        <f t="shared" si="104"/>
        <v>0</v>
      </c>
      <c r="AF295" s="73">
        <f>IF(A295&gt;入力設定!$B$6*12,0,IF(AND(ISNUMBER(C295),C295&gt;=0,C295&lt;=1),0,1))</f>
        <v>0</v>
      </c>
    </row>
    <row r="296" spans="1:32" ht="21" customHeight="1">
      <c r="A296" s="68">
        <f>291</f>
        <v>291</v>
      </c>
      <c r="B296" s="69">
        <f>EDATE(入力設定!$B$7,A296-1)</f>
        <v>55154</v>
      </c>
      <c r="C296" s="80">
        <f>INDEX(入力設定!$C$15:$C$24,INT((A296-1)/60)+1)</f>
        <v>0.05</v>
      </c>
      <c r="D296" s="70">
        <f t="shared" ca="1" si="105"/>
        <v>10658899.925339213</v>
      </c>
      <c r="E296" s="70">
        <f t="shared" ca="1" si="106"/>
        <v>90</v>
      </c>
      <c r="F296" s="70">
        <f ca="1">IF(D296+Z296&lt;0.000001,0,IF(D296&lt;0.000001,F295,IF(OR(AE296=1,AND(K295&gt;0,入力設定!$B$8="返済額軽減型",入力設定!$B$11="翌月")),IF(C296=0,D296/MAX(1,E296),D296*(C296/12)/(1-(1+C296/12)^(-MAX(1,E296)))),F295)))</f>
        <v>142266.59803560167</v>
      </c>
      <c r="G296" s="70">
        <f t="shared" ca="1" si="88"/>
        <v>142266.59803560167</v>
      </c>
      <c r="H296" s="70">
        <f t="shared" ca="1" si="89"/>
        <v>44412.083022246719</v>
      </c>
      <c r="I296" s="70">
        <f t="shared" ca="1" si="90"/>
        <v>97854.515013354947</v>
      </c>
      <c r="J296" s="70">
        <f>SUMIFS(入力設定!$G$5:$G$24,入力設定!$F$5:$F$24,A296)</f>
        <v>0</v>
      </c>
      <c r="K296" s="70">
        <f t="shared" ca="1" si="91"/>
        <v>0</v>
      </c>
      <c r="L296" s="70">
        <f ca="1">IF(K296&gt;0,入力設定!$B$9,0)</f>
        <v>0</v>
      </c>
      <c r="M296" s="70">
        <f t="shared" ca="1" si="92"/>
        <v>10561045.410325857</v>
      </c>
      <c r="N296" s="70">
        <f ca="1">IF(M296+AA296&lt;0.000001,0,IF(AND(K296&gt;0,入力設定!$B$8="期間短縮型",AA296&lt;0.000001,F296&gt;M296*C296/12),MAX(1,MIN(E296-1,IF(C296=0,ROUNDUP(M296/F296,0),ROUNDUP(-LN(1-M296*(C296/12)/F296)/LN(1+C296/12),0)))),MAX(1,E296-1)))</f>
        <v>89</v>
      </c>
      <c r="O296" s="70">
        <f t="shared" ca="1" si="93"/>
        <v>142266.59803560167</v>
      </c>
      <c r="P296" s="70">
        <f t="shared" ca="1" si="107"/>
        <v>15055810.49294927</v>
      </c>
      <c r="Q296" s="70">
        <f ca="1">IF(OR(A296&gt;入力設定!$B$6*12,P296+AC296&lt;0.000001),0,IF(P296&lt;0.000001,Q295,IF(AE296=1,IF(C296=0,P296/MAX(1,入力設定!$B$6*12-A296+1),P296*(C296/12)/(1-(1+C296/12)^(-MAX(1,入力設定!$B$6*12-A296+1)))),Q295)))</f>
        <v>150233.43899513036</v>
      </c>
      <c r="R296" s="70">
        <f ca="1">IF(P296+AC296&lt;0.000001,0,IF(A296=入力設定!$B$6*12,P296+AB296+AC296,MIN(Q296,P296+AB296+AC296)))</f>
        <v>150233.43899513036</v>
      </c>
      <c r="S296" s="70">
        <f t="shared" ca="1" si="94"/>
        <v>62732.543720621965</v>
      </c>
      <c r="T296" s="70">
        <f t="shared" ca="1" si="95"/>
        <v>87500.895274508395</v>
      </c>
      <c r="U296" s="70">
        <f t="shared" ca="1" si="96"/>
        <v>14968309.597674761</v>
      </c>
      <c r="V296" s="70">
        <f t="shared" ca="1" si="97"/>
        <v>0</v>
      </c>
      <c r="W296" s="70">
        <f t="shared" ca="1" si="98"/>
        <v>0</v>
      </c>
      <c r="X296" s="70">
        <f t="shared" ca="1" si="99"/>
        <v>0</v>
      </c>
      <c r="Y296" s="71">
        <f t="shared" ca="1" si="100"/>
        <v>44412.083022246719</v>
      </c>
      <c r="Z296" s="71">
        <f t="shared" ca="1" si="108"/>
        <v>0</v>
      </c>
      <c r="AA296" s="71">
        <f t="shared" ca="1" si="101"/>
        <v>0</v>
      </c>
      <c r="AB296" s="71">
        <f t="shared" ca="1" si="102"/>
        <v>62732.543720621965</v>
      </c>
      <c r="AC296" s="71">
        <f t="shared" ca="1" si="109"/>
        <v>0</v>
      </c>
      <c r="AD296" s="71">
        <f t="shared" ca="1" si="103"/>
        <v>0</v>
      </c>
      <c r="AE296" s="72">
        <f t="shared" si="104"/>
        <v>0</v>
      </c>
      <c r="AF296" s="73">
        <f>IF(A296&gt;入力設定!$B$6*12,0,IF(AND(ISNUMBER(C296),C296&gt;=0,C296&lt;=1),0,1))</f>
        <v>0</v>
      </c>
    </row>
    <row r="297" spans="1:32" ht="21" customHeight="1">
      <c r="A297" s="68">
        <f>292</f>
        <v>292</v>
      </c>
      <c r="B297" s="69">
        <f>EDATE(入力設定!$B$7,A297-1)</f>
        <v>55185</v>
      </c>
      <c r="C297" s="80">
        <f>INDEX(入力設定!$C$15:$C$24,INT((A297-1)/60)+1)</f>
        <v>0.05</v>
      </c>
      <c r="D297" s="70">
        <f t="shared" ca="1" si="105"/>
        <v>10561045.410325857</v>
      </c>
      <c r="E297" s="70">
        <f t="shared" ca="1" si="106"/>
        <v>89</v>
      </c>
      <c r="F297" s="70">
        <f ca="1">IF(D297+Z297&lt;0.000001,0,IF(D297&lt;0.000001,F296,IF(OR(AE297=1,AND(K296&gt;0,入力設定!$B$8="返済額軽減型",入力設定!$B$11="翌月")),IF(C297=0,D297/MAX(1,E297),D297*(C297/12)/(1-(1+C297/12)^(-MAX(1,E297)))),F296)))</f>
        <v>142266.59803560167</v>
      </c>
      <c r="G297" s="70">
        <f t="shared" ca="1" si="88"/>
        <v>142266.59803560167</v>
      </c>
      <c r="H297" s="70">
        <f t="shared" ca="1" si="89"/>
        <v>44004.355876357738</v>
      </c>
      <c r="I297" s="70">
        <f t="shared" ca="1" si="90"/>
        <v>98262.242159243935</v>
      </c>
      <c r="J297" s="70">
        <f>SUMIFS(入力設定!$G$5:$G$24,入力設定!$F$5:$F$24,A297)</f>
        <v>0</v>
      </c>
      <c r="K297" s="70">
        <f t="shared" ca="1" si="91"/>
        <v>0</v>
      </c>
      <c r="L297" s="70">
        <f ca="1">IF(K297&gt;0,入力設定!$B$9,0)</f>
        <v>0</v>
      </c>
      <c r="M297" s="70">
        <f t="shared" ca="1" si="92"/>
        <v>10462783.168166613</v>
      </c>
      <c r="N297" s="70">
        <f ca="1">IF(M297+AA297&lt;0.000001,0,IF(AND(K297&gt;0,入力設定!$B$8="期間短縮型",AA297&lt;0.000001,F297&gt;M297*C297/12),MAX(1,MIN(E297-1,IF(C297=0,ROUNDUP(M297/F297,0),ROUNDUP(-LN(1-M297*(C297/12)/F297)/LN(1+C297/12),0)))),MAX(1,E297-1)))</f>
        <v>88</v>
      </c>
      <c r="O297" s="70">
        <f t="shared" ca="1" si="93"/>
        <v>142266.59803560167</v>
      </c>
      <c r="P297" s="70">
        <f t="shared" ca="1" si="107"/>
        <v>14968309.597674761</v>
      </c>
      <c r="Q297" s="70">
        <f ca="1">IF(OR(A297&gt;入力設定!$B$6*12,P297+AC297&lt;0.000001),0,IF(P297&lt;0.000001,Q296,IF(AE297=1,IF(C297=0,P297/MAX(1,入力設定!$B$6*12-A297+1),P297*(C297/12)/(1-(1+C297/12)^(-MAX(1,入力設定!$B$6*12-A297+1)))),Q296)))</f>
        <v>150233.43899513036</v>
      </c>
      <c r="R297" s="70">
        <f ca="1">IF(P297+AC297&lt;0.000001,0,IF(A297=入力設定!$B$6*12,P297+AB297+AC297,MIN(Q297,P297+AB297+AC297)))</f>
        <v>150233.43899513036</v>
      </c>
      <c r="S297" s="70">
        <f t="shared" ca="1" si="94"/>
        <v>62367.956656978175</v>
      </c>
      <c r="T297" s="70">
        <f t="shared" ca="1" si="95"/>
        <v>87865.482338152186</v>
      </c>
      <c r="U297" s="70">
        <f t="shared" ca="1" si="96"/>
        <v>14880444.115336608</v>
      </c>
      <c r="V297" s="70">
        <f t="shared" ca="1" si="97"/>
        <v>0</v>
      </c>
      <c r="W297" s="70">
        <f t="shared" ca="1" si="98"/>
        <v>0</v>
      </c>
      <c r="X297" s="70">
        <f t="shared" ca="1" si="99"/>
        <v>0</v>
      </c>
      <c r="Y297" s="71">
        <f t="shared" ca="1" si="100"/>
        <v>44004.355876357738</v>
      </c>
      <c r="Z297" s="71">
        <f t="shared" ca="1" si="108"/>
        <v>0</v>
      </c>
      <c r="AA297" s="71">
        <f t="shared" ca="1" si="101"/>
        <v>0</v>
      </c>
      <c r="AB297" s="71">
        <f t="shared" ca="1" si="102"/>
        <v>62367.956656978175</v>
      </c>
      <c r="AC297" s="71">
        <f t="shared" ca="1" si="109"/>
        <v>0</v>
      </c>
      <c r="AD297" s="71">
        <f t="shared" ca="1" si="103"/>
        <v>0</v>
      </c>
      <c r="AE297" s="72">
        <f t="shared" si="104"/>
        <v>0</v>
      </c>
      <c r="AF297" s="73">
        <f>IF(A297&gt;入力設定!$B$6*12,0,IF(AND(ISNUMBER(C297),C297&gt;=0,C297&lt;=1),0,1))</f>
        <v>0</v>
      </c>
    </row>
    <row r="298" spans="1:32" ht="21" customHeight="1">
      <c r="A298" s="68">
        <f>293</f>
        <v>293</v>
      </c>
      <c r="B298" s="69">
        <f>EDATE(入力設定!$B$7,A298-1)</f>
        <v>55213</v>
      </c>
      <c r="C298" s="80">
        <f>INDEX(入力設定!$C$15:$C$24,INT((A298-1)/60)+1)</f>
        <v>0.05</v>
      </c>
      <c r="D298" s="70">
        <f t="shared" ca="1" si="105"/>
        <v>10462783.168166613</v>
      </c>
      <c r="E298" s="70">
        <f t="shared" ca="1" si="106"/>
        <v>88</v>
      </c>
      <c r="F298" s="70">
        <f ca="1">IF(D298+Z298&lt;0.000001,0,IF(D298&lt;0.000001,F297,IF(OR(AE298=1,AND(K297&gt;0,入力設定!$B$8="返済額軽減型",入力設定!$B$11="翌月")),IF(C298=0,D298/MAX(1,E298),D298*(C298/12)/(1-(1+C298/12)^(-MAX(1,E298)))),F297)))</f>
        <v>142266.59803560167</v>
      </c>
      <c r="G298" s="70">
        <f t="shared" ca="1" si="88"/>
        <v>142266.59803560167</v>
      </c>
      <c r="H298" s="70">
        <f t="shared" ca="1" si="89"/>
        <v>43594.929867360894</v>
      </c>
      <c r="I298" s="70">
        <f t="shared" ca="1" si="90"/>
        <v>98671.66816824078</v>
      </c>
      <c r="J298" s="70">
        <f>SUMIFS(入力設定!$G$5:$G$24,入力設定!$F$5:$F$24,A298)</f>
        <v>0</v>
      </c>
      <c r="K298" s="70">
        <f t="shared" ca="1" si="91"/>
        <v>0</v>
      </c>
      <c r="L298" s="70">
        <f ca="1">IF(K298&gt;0,入力設定!$B$9,0)</f>
        <v>0</v>
      </c>
      <c r="M298" s="70">
        <f t="shared" ca="1" si="92"/>
        <v>10364111.499998372</v>
      </c>
      <c r="N298" s="70">
        <f ca="1">IF(M298+AA298&lt;0.000001,0,IF(AND(K298&gt;0,入力設定!$B$8="期間短縮型",AA298&lt;0.000001,F298&gt;M298*C298/12),MAX(1,MIN(E298-1,IF(C298=0,ROUNDUP(M298/F298,0),ROUNDUP(-LN(1-M298*(C298/12)/F298)/LN(1+C298/12),0)))),MAX(1,E298-1)))</f>
        <v>87</v>
      </c>
      <c r="O298" s="70">
        <f t="shared" ca="1" si="93"/>
        <v>142266.59803560167</v>
      </c>
      <c r="P298" s="70">
        <f t="shared" ca="1" si="107"/>
        <v>14880444.115336608</v>
      </c>
      <c r="Q298" s="70">
        <f ca="1">IF(OR(A298&gt;入力設定!$B$6*12,P298+AC298&lt;0.000001),0,IF(P298&lt;0.000001,Q297,IF(AE298=1,IF(C298=0,P298/MAX(1,入力設定!$B$6*12-A298+1),P298*(C298/12)/(1-(1+C298/12)^(-MAX(1,入力設定!$B$6*12-A298+1)))),Q297)))</f>
        <v>150233.43899513036</v>
      </c>
      <c r="R298" s="70">
        <f ca="1">IF(P298+AC298&lt;0.000001,0,IF(A298=入力設定!$B$6*12,P298+AB298+AC298,MIN(Q298,P298+AB298+AC298)))</f>
        <v>150233.43899513036</v>
      </c>
      <c r="S298" s="70">
        <f t="shared" ca="1" si="94"/>
        <v>62001.850480569206</v>
      </c>
      <c r="T298" s="70">
        <f t="shared" ca="1" si="95"/>
        <v>88231.588514561154</v>
      </c>
      <c r="U298" s="70">
        <f t="shared" ca="1" si="96"/>
        <v>14792212.526822047</v>
      </c>
      <c r="V298" s="70">
        <f t="shared" ca="1" si="97"/>
        <v>0</v>
      </c>
      <c r="W298" s="70">
        <f t="shared" ca="1" si="98"/>
        <v>0</v>
      </c>
      <c r="X298" s="70">
        <f t="shared" ca="1" si="99"/>
        <v>0</v>
      </c>
      <c r="Y298" s="71">
        <f t="shared" ca="1" si="100"/>
        <v>43594.929867360894</v>
      </c>
      <c r="Z298" s="71">
        <f t="shared" ca="1" si="108"/>
        <v>0</v>
      </c>
      <c r="AA298" s="71">
        <f t="shared" ca="1" si="101"/>
        <v>0</v>
      </c>
      <c r="AB298" s="71">
        <f t="shared" ca="1" si="102"/>
        <v>62001.850480569206</v>
      </c>
      <c r="AC298" s="71">
        <f t="shared" ca="1" si="109"/>
        <v>0</v>
      </c>
      <c r="AD298" s="71">
        <f t="shared" ca="1" si="103"/>
        <v>0</v>
      </c>
      <c r="AE298" s="72">
        <f t="shared" si="104"/>
        <v>0</v>
      </c>
      <c r="AF298" s="73">
        <f>IF(A298&gt;入力設定!$B$6*12,0,IF(AND(ISNUMBER(C298),C298&gt;=0,C298&lt;=1),0,1))</f>
        <v>0</v>
      </c>
    </row>
    <row r="299" spans="1:32" ht="21" customHeight="1">
      <c r="A299" s="68">
        <f>294</f>
        <v>294</v>
      </c>
      <c r="B299" s="69">
        <f>EDATE(入力設定!$B$7,A299-1)</f>
        <v>55244</v>
      </c>
      <c r="C299" s="80">
        <f>INDEX(入力設定!$C$15:$C$24,INT((A299-1)/60)+1)</f>
        <v>0.05</v>
      </c>
      <c r="D299" s="70">
        <f t="shared" ca="1" si="105"/>
        <v>10364111.499998372</v>
      </c>
      <c r="E299" s="70">
        <f t="shared" ca="1" si="106"/>
        <v>87</v>
      </c>
      <c r="F299" s="70">
        <f ca="1">IF(D299+Z299&lt;0.000001,0,IF(D299&lt;0.000001,F298,IF(OR(AE299=1,AND(K298&gt;0,入力設定!$B$8="返済額軽減型",入力設定!$B$11="翌月")),IF(C299=0,D299/MAX(1,E299),D299*(C299/12)/(1-(1+C299/12)^(-MAX(1,E299)))),F298)))</f>
        <v>142266.59803560167</v>
      </c>
      <c r="G299" s="70">
        <f t="shared" ca="1" si="88"/>
        <v>142266.59803560167</v>
      </c>
      <c r="H299" s="70">
        <f t="shared" ca="1" si="89"/>
        <v>43183.797916659889</v>
      </c>
      <c r="I299" s="70">
        <f t="shared" ca="1" si="90"/>
        <v>99082.800118941785</v>
      </c>
      <c r="J299" s="70">
        <f>SUMIFS(入力設定!$G$5:$G$24,入力設定!$F$5:$F$24,A299)</f>
        <v>0</v>
      </c>
      <c r="K299" s="70">
        <f t="shared" ca="1" si="91"/>
        <v>0</v>
      </c>
      <c r="L299" s="70">
        <f ca="1">IF(K299&gt;0,入力設定!$B$9,0)</f>
        <v>0</v>
      </c>
      <c r="M299" s="70">
        <f t="shared" ca="1" si="92"/>
        <v>10265028.69987943</v>
      </c>
      <c r="N299" s="70">
        <f ca="1">IF(M299+AA299&lt;0.000001,0,IF(AND(K299&gt;0,入力設定!$B$8="期間短縮型",AA299&lt;0.000001,F299&gt;M299*C299/12),MAX(1,MIN(E299-1,IF(C299=0,ROUNDUP(M299/F299,0),ROUNDUP(-LN(1-M299*(C299/12)/F299)/LN(1+C299/12),0)))),MAX(1,E299-1)))</f>
        <v>86</v>
      </c>
      <c r="O299" s="70">
        <f t="shared" ca="1" si="93"/>
        <v>142266.59803560167</v>
      </c>
      <c r="P299" s="70">
        <f t="shared" ca="1" si="107"/>
        <v>14792212.526822047</v>
      </c>
      <c r="Q299" s="70">
        <f ca="1">IF(OR(A299&gt;入力設定!$B$6*12,P299+AC299&lt;0.000001),0,IF(P299&lt;0.000001,Q298,IF(AE299=1,IF(C299=0,P299/MAX(1,入力設定!$B$6*12-A299+1),P299*(C299/12)/(1-(1+C299/12)^(-MAX(1,入力設定!$B$6*12-A299+1)))),Q298)))</f>
        <v>150233.43899513036</v>
      </c>
      <c r="R299" s="70">
        <f ca="1">IF(P299+AC299&lt;0.000001,0,IF(A299=入力設定!$B$6*12,P299+AB299+AC299,MIN(Q299,P299+AB299+AC299)))</f>
        <v>150233.43899513036</v>
      </c>
      <c r="S299" s="70">
        <f t="shared" ca="1" si="94"/>
        <v>61634.218861758534</v>
      </c>
      <c r="T299" s="70">
        <f t="shared" ca="1" si="95"/>
        <v>88599.220133371826</v>
      </c>
      <c r="U299" s="70">
        <f t="shared" ca="1" si="96"/>
        <v>14703613.306688676</v>
      </c>
      <c r="V299" s="70">
        <f t="shared" ca="1" si="97"/>
        <v>0</v>
      </c>
      <c r="W299" s="70">
        <f t="shared" ca="1" si="98"/>
        <v>0</v>
      </c>
      <c r="X299" s="70">
        <f t="shared" ca="1" si="99"/>
        <v>0</v>
      </c>
      <c r="Y299" s="71">
        <f t="shared" ca="1" si="100"/>
        <v>43183.797916659889</v>
      </c>
      <c r="Z299" s="71">
        <f t="shared" ca="1" si="108"/>
        <v>0</v>
      </c>
      <c r="AA299" s="71">
        <f t="shared" ca="1" si="101"/>
        <v>0</v>
      </c>
      <c r="AB299" s="71">
        <f t="shared" ca="1" si="102"/>
        <v>61634.218861758534</v>
      </c>
      <c r="AC299" s="71">
        <f t="shared" ca="1" si="109"/>
        <v>0</v>
      </c>
      <c r="AD299" s="71">
        <f t="shared" ca="1" si="103"/>
        <v>0</v>
      </c>
      <c r="AE299" s="72">
        <f t="shared" si="104"/>
        <v>0</v>
      </c>
      <c r="AF299" s="73">
        <f>IF(A299&gt;入力設定!$B$6*12,0,IF(AND(ISNUMBER(C299),C299&gt;=0,C299&lt;=1),0,1))</f>
        <v>0</v>
      </c>
    </row>
    <row r="300" spans="1:32" ht="21" customHeight="1">
      <c r="A300" s="68">
        <f>295</f>
        <v>295</v>
      </c>
      <c r="B300" s="69">
        <f>EDATE(入力設定!$B$7,A300-1)</f>
        <v>55274</v>
      </c>
      <c r="C300" s="80">
        <f>INDEX(入力設定!$C$15:$C$24,INT((A300-1)/60)+1)</f>
        <v>0.05</v>
      </c>
      <c r="D300" s="70">
        <f t="shared" ca="1" si="105"/>
        <v>10265028.69987943</v>
      </c>
      <c r="E300" s="70">
        <f t="shared" ca="1" si="106"/>
        <v>86</v>
      </c>
      <c r="F300" s="70">
        <f ca="1">IF(D300+Z300&lt;0.000001,0,IF(D300&lt;0.000001,F299,IF(OR(AE300=1,AND(K299&gt;0,入力設定!$B$8="返済額軽減型",入力設定!$B$11="翌月")),IF(C300=0,D300/MAX(1,E300),D300*(C300/12)/(1-(1+C300/12)^(-MAX(1,E300)))),F299)))</f>
        <v>142266.59803560167</v>
      </c>
      <c r="G300" s="70">
        <f t="shared" ca="1" si="88"/>
        <v>142266.59803560167</v>
      </c>
      <c r="H300" s="70">
        <f t="shared" ca="1" si="89"/>
        <v>42770.952916164293</v>
      </c>
      <c r="I300" s="70">
        <f t="shared" ca="1" si="90"/>
        <v>99495.645119437366</v>
      </c>
      <c r="J300" s="70">
        <f>SUMIFS(入力設定!$G$5:$G$24,入力設定!$F$5:$F$24,A300)</f>
        <v>0</v>
      </c>
      <c r="K300" s="70">
        <f t="shared" ca="1" si="91"/>
        <v>0</v>
      </c>
      <c r="L300" s="70">
        <f ca="1">IF(K300&gt;0,入力設定!$B$9,0)</f>
        <v>0</v>
      </c>
      <c r="M300" s="70">
        <f t="shared" ca="1" si="92"/>
        <v>10165533.054759992</v>
      </c>
      <c r="N300" s="70">
        <f ca="1">IF(M300+AA300&lt;0.000001,0,IF(AND(K300&gt;0,入力設定!$B$8="期間短縮型",AA300&lt;0.000001,F300&gt;M300*C300/12),MAX(1,MIN(E300-1,IF(C300=0,ROUNDUP(M300/F300,0),ROUNDUP(-LN(1-M300*(C300/12)/F300)/LN(1+C300/12),0)))),MAX(1,E300-1)))</f>
        <v>85</v>
      </c>
      <c r="O300" s="70">
        <f t="shared" ca="1" si="93"/>
        <v>142266.59803560167</v>
      </c>
      <c r="P300" s="70">
        <f t="shared" ca="1" si="107"/>
        <v>14703613.306688676</v>
      </c>
      <c r="Q300" s="70">
        <f ca="1">IF(OR(A300&gt;入力設定!$B$6*12,P300+AC300&lt;0.000001),0,IF(P300&lt;0.000001,Q299,IF(AE300=1,IF(C300=0,P300/MAX(1,入力設定!$B$6*12-A300+1),P300*(C300/12)/(1-(1+C300/12)^(-MAX(1,入力設定!$B$6*12-A300+1)))),Q299)))</f>
        <v>150233.43899513036</v>
      </c>
      <c r="R300" s="70">
        <f ca="1">IF(P300+AC300&lt;0.000001,0,IF(A300=入力設定!$B$6*12,P300+AB300+AC300,MIN(Q300,P300+AB300+AC300)))</f>
        <v>150233.43899513036</v>
      </c>
      <c r="S300" s="70">
        <f t="shared" ca="1" si="94"/>
        <v>61265.055444536149</v>
      </c>
      <c r="T300" s="70">
        <f t="shared" ca="1" si="95"/>
        <v>88968.383550594212</v>
      </c>
      <c r="U300" s="70">
        <f t="shared" ca="1" si="96"/>
        <v>14614644.923138082</v>
      </c>
      <c r="V300" s="70">
        <f t="shared" ca="1" si="97"/>
        <v>0</v>
      </c>
      <c r="W300" s="70">
        <f t="shared" ca="1" si="98"/>
        <v>0</v>
      </c>
      <c r="X300" s="70">
        <f t="shared" ca="1" si="99"/>
        <v>0</v>
      </c>
      <c r="Y300" s="71">
        <f t="shared" ca="1" si="100"/>
        <v>42770.952916164293</v>
      </c>
      <c r="Z300" s="71">
        <f t="shared" ca="1" si="108"/>
        <v>0</v>
      </c>
      <c r="AA300" s="71">
        <f t="shared" ca="1" si="101"/>
        <v>0</v>
      </c>
      <c r="AB300" s="71">
        <f t="shared" ca="1" si="102"/>
        <v>61265.055444536149</v>
      </c>
      <c r="AC300" s="71">
        <f t="shared" ca="1" si="109"/>
        <v>0</v>
      </c>
      <c r="AD300" s="71">
        <f t="shared" ca="1" si="103"/>
        <v>0</v>
      </c>
      <c r="AE300" s="72">
        <f t="shared" si="104"/>
        <v>0</v>
      </c>
      <c r="AF300" s="73">
        <f>IF(A300&gt;入力設定!$B$6*12,0,IF(AND(ISNUMBER(C300),C300&gt;=0,C300&lt;=1),0,1))</f>
        <v>0</v>
      </c>
    </row>
    <row r="301" spans="1:32" ht="21" customHeight="1">
      <c r="A301" s="68">
        <f>296</f>
        <v>296</v>
      </c>
      <c r="B301" s="69">
        <f>EDATE(入力設定!$B$7,A301-1)</f>
        <v>55305</v>
      </c>
      <c r="C301" s="80">
        <f>INDEX(入力設定!$C$15:$C$24,INT((A301-1)/60)+1)</f>
        <v>0.05</v>
      </c>
      <c r="D301" s="70">
        <f t="shared" ca="1" si="105"/>
        <v>10165533.054759992</v>
      </c>
      <c r="E301" s="70">
        <f t="shared" ca="1" si="106"/>
        <v>85</v>
      </c>
      <c r="F301" s="70">
        <f ca="1">IF(D301+Z301&lt;0.000001,0,IF(D301&lt;0.000001,F300,IF(OR(AE301=1,AND(K300&gt;0,入力設定!$B$8="返済額軽減型",入力設定!$B$11="翌月")),IF(C301=0,D301/MAX(1,E301),D301*(C301/12)/(1-(1+C301/12)^(-MAX(1,E301)))),F300)))</f>
        <v>142266.59803560167</v>
      </c>
      <c r="G301" s="70">
        <f t="shared" ca="1" si="88"/>
        <v>142266.59803560167</v>
      </c>
      <c r="H301" s="70">
        <f t="shared" ca="1" si="89"/>
        <v>42356.387728166635</v>
      </c>
      <c r="I301" s="70">
        <f t="shared" ca="1" si="90"/>
        <v>99910.210307435031</v>
      </c>
      <c r="J301" s="70">
        <f>SUMIFS(入力設定!$G$5:$G$24,入力設定!$F$5:$F$24,A301)</f>
        <v>0</v>
      </c>
      <c r="K301" s="70">
        <f t="shared" ca="1" si="91"/>
        <v>0</v>
      </c>
      <c r="L301" s="70">
        <f ca="1">IF(K301&gt;0,入力設定!$B$9,0)</f>
        <v>0</v>
      </c>
      <c r="M301" s="70">
        <f t="shared" ca="1" si="92"/>
        <v>10065622.844452558</v>
      </c>
      <c r="N301" s="70">
        <f ca="1">IF(M301+AA301&lt;0.000001,0,IF(AND(K301&gt;0,入力設定!$B$8="期間短縮型",AA301&lt;0.000001,F301&gt;M301*C301/12),MAX(1,MIN(E301-1,IF(C301=0,ROUNDUP(M301/F301,0),ROUNDUP(-LN(1-M301*(C301/12)/F301)/LN(1+C301/12),0)))),MAX(1,E301-1)))</f>
        <v>84</v>
      </c>
      <c r="O301" s="70">
        <f t="shared" ca="1" si="93"/>
        <v>142266.59803560167</v>
      </c>
      <c r="P301" s="70">
        <f t="shared" ca="1" si="107"/>
        <v>14614644.923138082</v>
      </c>
      <c r="Q301" s="70">
        <f ca="1">IF(OR(A301&gt;入力設定!$B$6*12,P301+AC301&lt;0.000001),0,IF(P301&lt;0.000001,Q300,IF(AE301=1,IF(C301=0,P301/MAX(1,入力設定!$B$6*12-A301+1),P301*(C301/12)/(1-(1+C301/12)^(-MAX(1,入力設定!$B$6*12-A301+1)))),Q300)))</f>
        <v>150233.43899513036</v>
      </c>
      <c r="R301" s="70">
        <f ca="1">IF(P301+AC301&lt;0.000001,0,IF(A301=入力設定!$B$6*12,P301+AB301+AC301,MIN(Q301,P301+AB301+AC301)))</f>
        <v>150233.43899513036</v>
      </c>
      <c r="S301" s="70">
        <f t="shared" ca="1" si="94"/>
        <v>60894.353846408681</v>
      </c>
      <c r="T301" s="70">
        <f t="shared" ca="1" si="95"/>
        <v>89339.085148721671</v>
      </c>
      <c r="U301" s="70">
        <f t="shared" ca="1" si="96"/>
        <v>14525305.83798936</v>
      </c>
      <c r="V301" s="70">
        <f t="shared" ca="1" si="97"/>
        <v>0</v>
      </c>
      <c r="W301" s="70">
        <f t="shared" ca="1" si="98"/>
        <v>0</v>
      </c>
      <c r="X301" s="70">
        <f t="shared" ca="1" si="99"/>
        <v>0</v>
      </c>
      <c r="Y301" s="71">
        <f t="shared" ca="1" si="100"/>
        <v>42356.387728166635</v>
      </c>
      <c r="Z301" s="71">
        <f t="shared" ca="1" si="108"/>
        <v>0</v>
      </c>
      <c r="AA301" s="71">
        <f t="shared" ca="1" si="101"/>
        <v>0</v>
      </c>
      <c r="AB301" s="71">
        <f t="shared" ca="1" si="102"/>
        <v>60894.353846408681</v>
      </c>
      <c r="AC301" s="71">
        <f t="shared" ca="1" si="109"/>
        <v>0</v>
      </c>
      <c r="AD301" s="71">
        <f t="shared" ca="1" si="103"/>
        <v>0</v>
      </c>
      <c r="AE301" s="72">
        <f t="shared" si="104"/>
        <v>0</v>
      </c>
      <c r="AF301" s="73">
        <f>IF(A301&gt;入力設定!$B$6*12,0,IF(AND(ISNUMBER(C301),C301&gt;=0,C301&lt;=1),0,1))</f>
        <v>0</v>
      </c>
    </row>
    <row r="302" spans="1:32" ht="21" customHeight="1">
      <c r="A302" s="68">
        <f>297</f>
        <v>297</v>
      </c>
      <c r="B302" s="69">
        <f>EDATE(入力設定!$B$7,A302-1)</f>
        <v>55335</v>
      </c>
      <c r="C302" s="80">
        <f>INDEX(入力設定!$C$15:$C$24,INT((A302-1)/60)+1)</f>
        <v>0.05</v>
      </c>
      <c r="D302" s="70">
        <f t="shared" ca="1" si="105"/>
        <v>10065622.844452558</v>
      </c>
      <c r="E302" s="70">
        <f t="shared" ca="1" si="106"/>
        <v>84</v>
      </c>
      <c r="F302" s="70">
        <f ca="1">IF(D302+Z302&lt;0.000001,0,IF(D302&lt;0.000001,F301,IF(OR(AE302=1,AND(K301&gt;0,入力設定!$B$8="返済額軽減型",入力設定!$B$11="翌月")),IF(C302=0,D302/MAX(1,E302),D302*(C302/12)/(1-(1+C302/12)^(-MAX(1,E302)))),F301)))</f>
        <v>142266.59803560167</v>
      </c>
      <c r="G302" s="70">
        <f t="shared" ca="1" si="88"/>
        <v>142266.59803560167</v>
      </c>
      <c r="H302" s="70">
        <f t="shared" ca="1" si="89"/>
        <v>41940.095185218997</v>
      </c>
      <c r="I302" s="70">
        <f t="shared" ca="1" si="90"/>
        <v>100326.50285038268</v>
      </c>
      <c r="J302" s="70">
        <f>SUMIFS(入力設定!$G$5:$G$24,入力設定!$F$5:$F$24,A302)</f>
        <v>0</v>
      </c>
      <c r="K302" s="70">
        <f t="shared" ca="1" si="91"/>
        <v>0</v>
      </c>
      <c r="L302" s="70">
        <f ca="1">IF(K302&gt;0,入力設定!$B$9,0)</f>
        <v>0</v>
      </c>
      <c r="M302" s="70">
        <f t="shared" ca="1" si="92"/>
        <v>9965296.3416021746</v>
      </c>
      <c r="N302" s="70">
        <f ca="1">IF(M302+AA302&lt;0.000001,0,IF(AND(K302&gt;0,入力設定!$B$8="期間短縮型",AA302&lt;0.000001,F302&gt;M302*C302/12),MAX(1,MIN(E302-1,IF(C302=0,ROUNDUP(M302/F302,0),ROUNDUP(-LN(1-M302*(C302/12)/F302)/LN(1+C302/12),0)))),MAX(1,E302-1)))</f>
        <v>83</v>
      </c>
      <c r="O302" s="70">
        <f t="shared" ca="1" si="93"/>
        <v>142266.59803560167</v>
      </c>
      <c r="P302" s="70">
        <f t="shared" ca="1" si="107"/>
        <v>14525305.83798936</v>
      </c>
      <c r="Q302" s="70">
        <f ca="1">IF(OR(A302&gt;入力設定!$B$6*12,P302+AC302&lt;0.000001),0,IF(P302&lt;0.000001,Q301,IF(AE302=1,IF(C302=0,P302/MAX(1,入力設定!$B$6*12-A302+1),P302*(C302/12)/(1-(1+C302/12)^(-MAX(1,入力設定!$B$6*12-A302+1)))),Q301)))</f>
        <v>150233.43899513036</v>
      </c>
      <c r="R302" s="70">
        <f ca="1">IF(P302+AC302&lt;0.000001,0,IF(A302=入力設定!$B$6*12,P302+AB302+AC302,MIN(Q302,P302+AB302+AC302)))</f>
        <v>150233.43899513036</v>
      </c>
      <c r="S302" s="70">
        <f t="shared" ca="1" si="94"/>
        <v>60522.107658289002</v>
      </c>
      <c r="T302" s="70">
        <f t="shared" ca="1" si="95"/>
        <v>89711.331336841366</v>
      </c>
      <c r="U302" s="70">
        <f t="shared" ca="1" si="96"/>
        <v>14435594.506652519</v>
      </c>
      <c r="V302" s="70">
        <f t="shared" ca="1" si="97"/>
        <v>0</v>
      </c>
      <c r="W302" s="70">
        <f t="shared" ca="1" si="98"/>
        <v>0</v>
      </c>
      <c r="X302" s="70">
        <f t="shared" ca="1" si="99"/>
        <v>0</v>
      </c>
      <c r="Y302" s="71">
        <f t="shared" ca="1" si="100"/>
        <v>41940.095185218997</v>
      </c>
      <c r="Z302" s="71">
        <f t="shared" ca="1" si="108"/>
        <v>0</v>
      </c>
      <c r="AA302" s="71">
        <f t="shared" ca="1" si="101"/>
        <v>0</v>
      </c>
      <c r="AB302" s="71">
        <f t="shared" ca="1" si="102"/>
        <v>60522.107658289002</v>
      </c>
      <c r="AC302" s="71">
        <f t="shared" ca="1" si="109"/>
        <v>0</v>
      </c>
      <c r="AD302" s="71">
        <f t="shared" ca="1" si="103"/>
        <v>0</v>
      </c>
      <c r="AE302" s="72">
        <f t="shared" si="104"/>
        <v>0</v>
      </c>
      <c r="AF302" s="73">
        <f>IF(A302&gt;入力設定!$B$6*12,0,IF(AND(ISNUMBER(C302),C302&gt;=0,C302&lt;=1),0,1))</f>
        <v>0</v>
      </c>
    </row>
    <row r="303" spans="1:32" ht="21" customHeight="1">
      <c r="A303" s="68">
        <f>298</f>
        <v>298</v>
      </c>
      <c r="B303" s="69">
        <f>EDATE(入力設定!$B$7,A303-1)</f>
        <v>55366</v>
      </c>
      <c r="C303" s="80">
        <f>INDEX(入力設定!$C$15:$C$24,INT((A303-1)/60)+1)</f>
        <v>0.05</v>
      </c>
      <c r="D303" s="70">
        <f t="shared" ca="1" si="105"/>
        <v>9965296.3416021746</v>
      </c>
      <c r="E303" s="70">
        <f t="shared" ca="1" si="106"/>
        <v>83</v>
      </c>
      <c r="F303" s="70">
        <f ca="1">IF(D303+Z303&lt;0.000001,0,IF(D303&lt;0.000001,F302,IF(OR(AE303=1,AND(K302&gt;0,入力設定!$B$8="返済額軽減型",入力設定!$B$11="翌月")),IF(C303=0,D303/MAX(1,E303),D303*(C303/12)/(1-(1+C303/12)^(-MAX(1,E303)))),F302)))</f>
        <v>142266.59803560167</v>
      </c>
      <c r="G303" s="70">
        <f t="shared" ca="1" si="88"/>
        <v>142266.59803560167</v>
      </c>
      <c r="H303" s="70">
        <f t="shared" ca="1" si="89"/>
        <v>41522.068090009059</v>
      </c>
      <c r="I303" s="70">
        <f t="shared" ca="1" si="90"/>
        <v>100744.5299455926</v>
      </c>
      <c r="J303" s="70">
        <f>SUMIFS(入力設定!$G$5:$G$24,入力設定!$F$5:$F$24,A303)</f>
        <v>0</v>
      </c>
      <c r="K303" s="70">
        <f t="shared" ca="1" si="91"/>
        <v>0</v>
      </c>
      <c r="L303" s="70">
        <f ca="1">IF(K303&gt;0,入力設定!$B$9,0)</f>
        <v>0</v>
      </c>
      <c r="M303" s="70">
        <f t="shared" ca="1" si="92"/>
        <v>9864551.8116565812</v>
      </c>
      <c r="N303" s="70">
        <f ca="1">IF(M303+AA303&lt;0.000001,0,IF(AND(K303&gt;0,入力設定!$B$8="期間短縮型",AA303&lt;0.000001,F303&gt;M303*C303/12),MAX(1,MIN(E303-1,IF(C303=0,ROUNDUP(M303/F303,0),ROUNDUP(-LN(1-M303*(C303/12)/F303)/LN(1+C303/12),0)))),MAX(1,E303-1)))</f>
        <v>82</v>
      </c>
      <c r="O303" s="70">
        <f t="shared" ca="1" si="93"/>
        <v>142266.59803560167</v>
      </c>
      <c r="P303" s="70">
        <f t="shared" ca="1" si="107"/>
        <v>14435594.506652519</v>
      </c>
      <c r="Q303" s="70">
        <f ca="1">IF(OR(A303&gt;入力設定!$B$6*12,P303+AC303&lt;0.000001),0,IF(P303&lt;0.000001,Q302,IF(AE303=1,IF(C303=0,P303/MAX(1,入力設定!$B$6*12-A303+1),P303*(C303/12)/(1-(1+C303/12)^(-MAX(1,入力設定!$B$6*12-A303+1)))),Q302)))</f>
        <v>150233.43899513036</v>
      </c>
      <c r="R303" s="70">
        <f ca="1">IF(P303+AC303&lt;0.000001,0,IF(A303=入力設定!$B$6*12,P303+AB303+AC303,MIN(Q303,P303+AB303+AC303)))</f>
        <v>150233.43899513036</v>
      </c>
      <c r="S303" s="70">
        <f t="shared" ca="1" si="94"/>
        <v>60148.310444385505</v>
      </c>
      <c r="T303" s="70">
        <f t="shared" ca="1" si="95"/>
        <v>90085.128550744848</v>
      </c>
      <c r="U303" s="70">
        <f t="shared" ca="1" si="96"/>
        <v>14345509.378101774</v>
      </c>
      <c r="V303" s="70">
        <f t="shared" ca="1" si="97"/>
        <v>0</v>
      </c>
      <c r="W303" s="70">
        <f t="shared" ca="1" si="98"/>
        <v>0</v>
      </c>
      <c r="X303" s="70">
        <f t="shared" ca="1" si="99"/>
        <v>0</v>
      </c>
      <c r="Y303" s="71">
        <f t="shared" ca="1" si="100"/>
        <v>41522.068090009059</v>
      </c>
      <c r="Z303" s="71">
        <f t="shared" ca="1" si="108"/>
        <v>0</v>
      </c>
      <c r="AA303" s="71">
        <f t="shared" ca="1" si="101"/>
        <v>0</v>
      </c>
      <c r="AB303" s="71">
        <f t="shared" ca="1" si="102"/>
        <v>60148.310444385505</v>
      </c>
      <c r="AC303" s="71">
        <f t="shared" ca="1" si="109"/>
        <v>0</v>
      </c>
      <c r="AD303" s="71">
        <f t="shared" ca="1" si="103"/>
        <v>0</v>
      </c>
      <c r="AE303" s="72">
        <f t="shared" si="104"/>
        <v>0</v>
      </c>
      <c r="AF303" s="73">
        <f>IF(A303&gt;入力設定!$B$6*12,0,IF(AND(ISNUMBER(C303),C303&gt;=0,C303&lt;=1),0,1))</f>
        <v>0</v>
      </c>
    </row>
    <row r="304" spans="1:32" ht="21" customHeight="1">
      <c r="A304" s="68">
        <f>299</f>
        <v>299</v>
      </c>
      <c r="B304" s="69">
        <f>EDATE(入力設定!$B$7,A304-1)</f>
        <v>55397</v>
      </c>
      <c r="C304" s="80">
        <f>INDEX(入力設定!$C$15:$C$24,INT((A304-1)/60)+1)</f>
        <v>0.05</v>
      </c>
      <c r="D304" s="70">
        <f t="shared" ca="1" si="105"/>
        <v>9864551.8116565812</v>
      </c>
      <c r="E304" s="70">
        <f t="shared" ca="1" si="106"/>
        <v>82</v>
      </c>
      <c r="F304" s="70">
        <f ca="1">IF(D304+Z304&lt;0.000001,0,IF(D304&lt;0.000001,F303,IF(OR(AE304=1,AND(K303&gt;0,入力設定!$B$8="返済額軽減型",入力設定!$B$11="翌月")),IF(C304=0,D304/MAX(1,E304),D304*(C304/12)/(1-(1+C304/12)^(-MAX(1,E304)))),F303)))</f>
        <v>142266.59803560167</v>
      </c>
      <c r="G304" s="70">
        <f t="shared" ca="1" si="88"/>
        <v>142266.59803560167</v>
      </c>
      <c r="H304" s="70">
        <f t="shared" ca="1" si="89"/>
        <v>41102.299215235755</v>
      </c>
      <c r="I304" s="70">
        <f t="shared" ca="1" si="90"/>
        <v>101164.29882036592</v>
      </c>
      <c r="J304" s="70">
        <f>SUMIFS(入力設定!$G$5:$G$24,入力設定!$F$5:$F$24,A304)</f>
        <v>0</v>
      </c>
      <c r="K304" s="70">
        <f t="shared" ca="1" si="91"/>
        <v>0</v>
      </c>
      <c r="L304" s="70">
        <f ca="1">IF(K304&gt;0,入力設定!$B$9,0)</f>
        <v>0</v>
      </c>
      <c r="M304" s="70">
        <f t="shared" ca="1" si="92"/>
        <v>9763387.512836216</v>
      </c>
      <c r="N304" s="70">
        <f ca="1">IF(M304+AA304&lt;0.000001,0,IF(AND(K304&gt;0,入力設定!$B$8="期間短縮型",AA304&lt;0.000001,F304&gt;M304*C304/12),MAX(1,MIN(E304-1,IF(C304=0,ROUNDUP(M304/F304,0),ROUNDUP(-LN(1-M304*(C304/12)/F304)/LN(1+C304/12),0)))),MAX(1,E304-1)))</f>
        <v>81</v>
      </c>
      <c r="O304" s="70">
        <f t="shared" ca="1" si="93"/>
        <v>142266.59803560167</v>
      </c>
      <c r="P304" s="70">
        <f t="shared" ca="1" si="107"/>
        <v>14345509.378101774</v>
      </c>
      <c r="Q304" s="70">
        <f ca="1">IF(OR(A304&gt;入力設定!$B$6*12,P304+AC304&lt;0.000001),0,IF(P304&lt;0.000001,Q303,IF(AE304=1,IF(C304=0,P304/MAX(1,入力設定!$B$6*12-A304+1),P304*(C304/12)/(1-(1+C304/12)^(-MAX(1,入力設定!$B$6*12-A304+1)))),Q303)))</f>
        <v>150233.43899513036</v>
      </c>
      <c r="R304" s="70">
        <f ca="1">IF(P304+AC304&lt;0.000001,0,IF(A304=入力設定!$B$6*12,P304+AB304+AC304,MIN(Q304,P304+AB304+AC304)))</f>
        <v>150233.43899513036</v>
      </c>
      <c r="S304" s="70">
        <f t="shared" ca="1" si="94"/>
        <v>59772.955742090729</v>
      </c>
      <c r="T304" s="70">
        <f t="shared" ca="1" si="95"/>
        <v>90460.483253039623</v>
      </c>
      <c r="U304" s="70">
        <f t="shared" ca="1" si="96"/>
        <v>14255048.894848734</v>
      </c>
      <c r="V304" s="70">
        <f t="shared" ca="1" si="97"/>
        <v>0</v>
      </c>
      <c r="W304" s="70">
        <f t="shared" ca="1" si="98"/>
        <v>0</v>
      </c>
      <c r="X304" s="70">
        <f t="shared" ca="1" si="99"/>
        <v>0</v>
      </c>
      <c r="Y304" s="71">
        <f t="shared" ca="1" si="100"/>
        <v>41102.299215235755</v>
      </c>
      <c r="Z304" s="71">
        <f t="shared" ca="1" si="108"/>
        <v>0</v>
      </c>
      <c r="AA304" s="71">
        <f t="shared" ca="1" si="101"/>
        <v>0</v>
      </c>
      <c r="AB304" s="71">
        <f t="shared" ca="1" si="102"/>
        <v>59772.955742090729</v>
      </c>
      <c r="AC304" s="71">
        <f t="shared" ca="1" si="109"/>
        <v>0</v>
      </c>
      <c r="AD304" s="71">
        <f t="shared" ca="1" si="103"/>
        <v>0</v>
      </c>
      <c r="AE304" s="72">
        <f t="shared" si="104"/>
        <v>0</v>
      </c>
      <c r="AF304" s="73">
        <f>IF(A304&gt;入力設定!$B$6*12,0,IF(AND(ISNUMBER(C304),C304&gt;=0,C304&lt;=1),0,1))</f>
        <v>0</v>
      </c>
    </row>
    <row r="305" spans="1:32" ht="21" customHeight="1">
      <c r="A305" s="68">
        <f>300</f>
        <v>300</v>
      </c>
      <c r="B305" s="69">
        <f>EDATE(入力設定!$B$7,A305-1)</f>
        <v>55427</v>
      </c>
      <c r="C305" s="80">
        <f>INDEX(入力設定!$C$15:$C$24,INT((A305-1)/60)+1)</f>
        <v>0.05</v>
      </c>
      <c r="D305" s="70">
        <f t="shared" ca="1" si="105"/>
        <v>9763387.512836216</v>
      </c>
      <c r="E305" s="70">
        <f t="shared" ca="1" si="106"/>
        <v>81</v>
      </c>
      <c r="F305" s="70">
        <f ca="1">IF(D305+Z305&lt;0.000001,0,IF(D305&lt;0.000001,F304,IF(OR(AE305=1,AND(K304&gt;0,入力設定!$B$8="返済額軽減型",入力設定!$B$11="翌月")),IF(C305=0,D305/MAX(1,E305),D305*(C305/12)/(1-(1+C305/12)^(-MAX(1,E305)))),F304)))</f>
        <v>142266.59803560167</v>
      </c>
      <c r="G305" s="70">
        <f t="shared" ca="1" si="88"/>
        <v>142266.59803560167</v>
      </c>
      <c r="H305" s="70">
        <f t="shared" ca="1" si="89"/>
        <v>40680.781303484233</v>
      </c>
      <c r="I305" s="70">
        <f t="shared" ca="1" si="90"/>
        <v>101585.81673211744</v>
      </c>
      <c r="J305" s="70">
        <f>SUMIFS(入力設定!$G$5:$G$24,入力設定!$F$5:$F$24,A305)</f>
        <v>0</v>
      </c>
      <c r="K305" s="70">
        <f t="shared" ca="1" si="91"/>
        <v>0</v>
      </c>
      <c r="L305" s="70">
        <f ca="1">IF(K305&gt;0,入力設定!$B$9,0)</f>
        <v>0</v>
      </c>
      <c r="M305" s="70">
        <f t="shared" ca="1" si="92"/>
        <v>9661801.6961040981</v>
      </c>
      <c r="N305" s="70">
        <f ca="1">IF(M305+AA305&lt;0.000001,0,IF(AND(K305&gt;0,入力設定!$B$8="期間短縮型",AA305&lt;0.000001,F305&gt;M305*C305/12),MAX(1,MIN(E305-1,IF(C305=0,ROUNDUP(M305/F305,0),ROUNDUP(-LN(1-M305*(C305/12)/F305)/LN(1+C305/12),0)))),MAX(1,E305-1)))</f>
        <v>80</v>
      </c>
      <c r="O305" s="70">
        <f t="shared" ca="1" si="93"/>
        <v>142266.59803560167</v>
      </c>
      <c r="P305" s="70">
        <f t="shared" ca="1" si="107"/>
        <v>14255048.894848734</v>
      </c>
      <c r="Q305" s="70">
        <f ca="1">IF(OR(A305&gt;入力設定!$B$6*12,P305+AC305&lt;0.000001),0,IF(P305&lt;0.000001,Q304,IF(AE305=1,IF(C305=0,P305/MAX(1,入力設定!$B$6*12-A305+1),P305*(C305/12)/(1-(1+C305/12)^(-MAX(1,入力設定!$B$6*12-A305+1)))),Q304)))</f>
        <v>150233.43899513036</v>
      </c>
      <c r="R305" s="70">
        <f ca="1">IF(P305+AC305&lt;0.000001,0,IF(A305=入力設定!$B$6*12,P305+AB305+AC305,MIN(Q305,P305+AB305+AC305)))</f>
        <v>150233.43899513036</v>
      </c>
      <c r="S305" s="70">
        <f t="shared" ca="1" si="94"/>
        <v>59396.037061869727</v>
      </c>
      <c r="T305" s="70">
        <f t="shared" ca="1" si="95"/>
        <v>90837.40193326064</v>
      </c>
      <c r="U305" s="70">
        <f t="shared" ca="1" si="96"/>
        <v>14164211.492915474</v>
      </c>
      <c r="V305" s="70">
        <f t="shared" ca="1" si="97"/>
        <v>0</v>
      </c>
      <c r="W305" s="70">
        <f t="shared" ca="1" si="98"/>
        <v>0</v>
      </c>
      <c r="X305" s="70">
        <f t="shared" ca="1" si="99"/>
        <v>0</v>
      </c>
      <c r="Y305" s="71">
        <f t="shared" ca="1" si="100"/>
        <v>40680.781303484233</v>
      </c>
      <c r="Z305" s="71">
        <f t="shared" ca="1" si="108"/>
        <v>0</v>
      </c>
      <c r="AA305" s="71">
        <f t="shared" ca="1" si="101"/>
        <v>0</v>
      </c>
      <c r="AB305" s="71">
        <f t="shared" ca="1" si="102"/>
        <v>59396.037061869727</v>
      </c>
      <c r="AC305" s="71">
        <f t="shared" ca="1" si="109"/>
        <v>0</v>
      </c>
      <c r="AD305" s="71">
        <f t="shared" ca="1" si="103"/>
        <v>0</v>
      </c>
      <c r="AE305" s="72">
        <f t="shared" si="104"/>
        <v>0</v>
      </c>
      <c r="AF305" s="73">
        <f>IF(A305&gt;入力設定!$B$6*12,0,IF(AND(ISNUMBER(C305),C305&gt;=0,C305&lt;=1),0,1))</f>
        <v>0</v>
      </c>
    </row>
    <row r="306" spans="1:32" ht="21" customHeight="1">
      <c r="A306" s="68">
        <f>301</f>
        <v>301</v>
      </c>
      <c r="B306" s="69">
        <f>EDATE(入力設定!$B$7,A306-1)</f>
        <v>55458</v>
      </c>
      <c r="C306" s="80">
        <f>INDEX(入力設定!$C$15:$C$24,INT((A306-1)/60)+1)</f>
        <v>0.05</v>
      </c>
      <c r="D306" s="70">
        <f t="shared" ca="1" si="105"/>
        <v>9661801.6961040981</v>
      </c>
      <c r="E306" s="70">
        <f t="shared" ca="1" si="106"/>
        <v>80</v>
      </c>
      <c r="F306" s="70">
        <f ca="1">IF(D306+Z306&lt;0.000001,0,IF(D306&lt;0.000001,F305,IF(OR(AE306=1,AND(K305&gt;0,入力設定!$B$8="返済額軽減型",入力設定!$B$11="翌月")),IF(C306=0,D306/MAX(1,E306),D306*(C306/12)/(1-(1+C306/12)^(-MAX(1,E306)))),F305)))</f>
        <v>142266.59803560199</v>
      </c>
      <c r="G306" s="70">
        <f t="shared" ca="1" si="88"/>
        <v>142266.59803560199</v>
      </c>
      <c r="H306" s="70">
        <f t="shared" ca="1" si="89"/>
        <v>40257.507067100414</v>
      </c>
      <c r="I306" s="70">
        <f t="shared" ca="1" si="90"/>
        <v>102009.09096850158</v>
      </c>
      <c r="J306" s="70">
        <f>SUMIFS(入力設定!$G$5:$G$24,入力設定!$F$5:$F$24,A306)</f>
        <v>0</v>
      </c>
      <c r="K306" s="70">
        <f t="shared" ca="1" si="91"/>
        <v>0</v>
      </c>
      <c r="L306" s="70">
        <f ca="1">IF(K306&gt;0,入力設定!$B$9,0)</f>
        <v>0</v>
      </c>
      <c r="M306" s="70">
        <f t="shared" ca="1" si="92"/>
        <v>9559792.6051355973</v>
      </c>
      <c r="N306" s="70">
        <f ca="1">IF(M306+AA306&lt;0.000001,0,IF(AND(K306&gt;0,入力設定!$B$8="期間短縮型",AA306&lt;0.000001,F306&gt;M306*C306/12),MAX(1,MIN(E306-1,IF(C306=0,ROUNDUP(M306/F306,0),ROUNDUP(-LN(1-M306*(C306/12)/F306)/LN(1+C306/12),0)))),MAX(1,E306-1)))</f>
        <v>79</v>
      </c>
      <c r="O306" s="70">
        <f t="shared" ca="1" si="93"/>
        <v>142266.59803560199</v>
      </c>
      <c r="P306" s="70">
        <f t="shared" ca="1" si="107"/>
        <v>14164211.492915474</v>
      </c>
      <c r="Q306" s="70">
        <f ca="1">IF(OR(A306&gt;入力設定!$B$6*12,P306+AC306&lt;0.000001),0,IF(P306&lt;0.000001,Q305,IF(AE306=1,IF(C306=0,P306/MAX(1,入力設定!$B$6*12-A306+1),P306*(C306/12)/(1-(1+C306/12)^(-MAX(1,入力設定!$B$6*12-A306+1)))),Q305)))</f>
        <v>150233.43899513065</v>
      </c>
      <c r="R306" s="70">
        <f ca="1">IF(P306+AC306&lt;0.000001,0,IF(A306=入力設定!$B$6*12,P306+AB306+AC306,MIN(Q306,P306+AB306+AC306)))</f>
        <v>150233.43899513065</v>
      </c>
      <c r="S306" s="70">
        <f t="shared" ca="1" si="94"/>
        <v>59017.547887147812</v>
      </c>
      <c r="T306" s="70">
        <f t="shared" ca="1" si="95"/>
        <v>91215.891107982839</v>
      </c>
      <c r="U306" s="70">
        <f t="shared" ca="1" si="96"/>
        <v>14072995.601807492</v>
      </c>
      <c r="V306" s="70">
        <f t="shared" ca="1" si="97"/>
        <v>0</v>
      </c>
      <c r="W306" s="70">
        <f t="shared" ca="1" si="98"/>
        <v>0</v>
      </c>
      <c r="X306" s="70">
        <f t="shared" ca="1" si="99"/>
        <v>0</v>
      </c>
      <c r="Y306" s="71">
        <f t="shared" ca="1" si="100"/>
        <v>40257.507067100414</v>
      </c>
      <c r="Z306" s="71">
        <f t="shared" ca="1" si="108"/>
        <v>0</v>
      </c>
      <c r="AA306" s="71">
        <f t="shared" ca="1" si="101"/>
        <v>0</v>
      </c>
      <c r="AB306" s="71">
        <f t="shared" ca="1" si="102"/>
        <v>59017.547887147812</v>
      </c>
      <c r="AC306" s="71">
        <f t="shared" ca="1" si="109"/>
        <v>0</v>
      </c>
      <c r="AD306" s="71">
        <f t="shared" ca="1" si="103"/>
        <v>0</v>
      </c>
      <c r="AE306" s="72">
        <f t="shared" si="104"/>
        <v>1</v>
      </c>
      <c r="AF306" s="73">
        <f>IF(A306&gt;入力設定!$B$6*12,0,IF(AND(ISNUMBER(C306),C306&gt;=0,C306&lt;=1),0,1))</f>
        <v>0</v>
      </c>
    </row>
    <row r="307" spans="1:32" ht="21" customHeight="1">
      <c r="A307" s="68">
        <f>302</f>
        <v>302</v>
      </c>
      <c r="B307" s="69">
        <f>EDATE(入力設定!$B$7,A307-1)</f>
        <v>55488</v>
      </c>
      <c r="C307" s="80">
        <f>INDEX(入力設定!$C$15:$C$24,INT((A307-1)/60)+1)</f>
        <v>0.05</v>
      </c>
      <c r="D307" s="70">
        <f t="shared" ca="1" si="105"/>
        <v>9559792.6051355973</v>
      </c>
      <c r="E307" s="70">
        <f t="shared" ca="1" si="106"/>
        <v>79</v>
      </c>
      <c r="F307" s="70">
        <f ca="1">IF(D307+Z307&lt;0.000001,0,IF(D307&lt;0.000001,F306,IF(OR(AE307=1,AND(K306&gt;0,入力設定!$B$8="返済額軽減型",入力設定!$B$11="翌月")),IF(C307=0,D307/MAX(1,E307),D307*(C307/12)/(1-(1+C307/12)^(-MAX(1,E307)))),F306)))</f>
        <v>142266.59803560199</v>
      </c>
      <c r="G307" s="70">
        <f t="shared" ca="1" si="88"/>
        <v>142266.59803560199</v>
      </c>
      <c r="H307" s="70">
        <f t="shared" ca="1" si="89"/>
        <v>39832.469188064992</v>
      </c>
      <c r="I307" s="70">
        <f t="shared" ca="1" si="90"/>
        <v>102434.12884753699</v>
      </c>
      <c r="J307" s="70">
        <f>SUMIFS(入力設定!$G$5:$G$24,入力設定!$F$5:$F$24,A307)</f>
        <v>0</v>
      </c>
      <c r="K307" s="70">
        <f t="shared" ca="1" si="91"/>
        <v>0</v>
      </c>
      <c r="L307" s="70">
        <f ca="1">IF(K307&gt;0,入力設定!$B$9,0)</f>
        <v>0</v>
      </c>
      <c r="M307" s="70">
        <f t="shared" ca="1" si="92"/>
        <v>9457358.4762880597</v>
      </c>
      <c r="N307" s="70">
        <f ca="1">IF(M307+AA307&lt;0.000001,0,IF(AND(K307&gt;0,入力設定!$B$8="期間短縮型",AA307&lt;0.000001,F307&gt;M307*C307/12),MAX(1,MIN(E307-1,IF(C307=0,ROUNDUP(M307/F307,0),ROUNDUP(-LN(1-M307*(C307/12)/F307)/LN(1+C307/12),0)))),MAX(1,E307-1)))</f>
        <v>78</v>
      </c>
      <c r="O307" s="70">
        <f t="shared" ca="1" si="93"/>
        <v>142266.59803560199</v>
      </c>
      <c r="P307" s="70">
        <f t="shared" ca="1" si="107"/>
        <v>14072995.601807492</v>
      </c>
      <c r="Q307" s="70">
        <f ca="1">IF(OR(A307&gt;入力設定!$B$6*12,P307+AC307&lt;0.000001),0,IF(P307&lt;0.000001,Q306,IF(AE307=1,IF(C307=0,P307/MAX(1,入力設定!$B$6*12-A307+1),P307*(C307/12)/(1-(1+C307/12)^(-MAX(1,入力設定!$B$6*12-A307+1)))),Q306)))</f>
        <v>150233.43899513065</v>
      </c>
      <c r="R307" s="70">
        <f ca="1">IF(P307+AC307&lt;0.000001,0,IF(A307=入力設定!$B$6*12,P307+AB307+AC307,MIN(Q307,P307+AB307+AC307)))</f>
        <v>150233.43899513065</v>
      </c>
      <c r="S307" s="70">
        <f t="shared" ca="1" si="94"/>
        <v>58637.481674197887</v>
      </c>
      <c r="T307" s="70">
        <f t="shared" ca="1" si="95"/>
        <v>91595.957320932765</v>
      </c>
      <c r="U307" s="70">
        <f t="shared" ca="1" si="96"/>
        <v>13981399.64448656</v>
      </c>
      <c r="V307" s="70">
        <f t="shared" ca="1" si="97"/>
        <v>0</v>
      </c>
      <c r="W307" s="70">
        <f t="shared" ca="1" si="98"/>
        <v>0</v>
      </c>
      <c r="X307" s="70">
        <f t="shared" ca="1" si="99"/>
        <v>0</v>
      </c>
      <c r="Y307" s="71">
        <f t="shared" ca="1" si="100"/>
        <v>39832.469188064992</v>
      </c>
      <c r="Z307" s="71">
        <f t="shared" ca="1" si="108"/>
        <v>0</v>
      </c>
      <c r="AA307" s="71">
        <f t="shared" ca="1" si="101"/>
        <v>0</v>
      </c>
      <c r="AB307" s="71">
        <f t="shared" ca="1" si="102"/>
        <v>58637.481674197887</v>
      </c>
      <c r="AC307" s="71">
        <f t="shared" ca="1" si="109"/>
        <v>0</v>
      </c>
      <c r="AD307" s="71">
        <f t="shared" ca="1" si="103"/>
        <v>0</v>
      </c>
      <c r="AE307" s="72">
        <f t="shared" si="104"/>
        <v>0</v>
      </c>
      <c r="AF307" s="73">
        <f>IF(A307&gt;入力設定!$B$6*12,0,IF(AND(ISNUMBER(C307),C307&gt;=0,C307&lt;=1),0,1))</f>
        <v>0</v>
      </c>
    </row>
    <row r="308" spans="1:32" ht="21" customHeight="1">
      <c r="A308" s="68">
        <f>303</f>
        <v>303</v>
      </c>
      <c r="B308" s="69">
        <f>EDATE(入力設定!$B$7,A308-1)</f>
        <v>55519</v>
      </c>
      <c r="C308" s="80">
        <f>INDEX(入力設定!$C$15:$C$24,INT((A308-1)/60)+1)</f>
        <v>0.05</v>
      </c>
      <c r="D308" s="70">
        <f t="shared" ca="1" si="105"/>
        <v>9457358.4762880597</v>
      </c>
      <c r="E308" s="70">
        <f t="shared" ca="1" si="106"/>
        <v>78</v>
      </c>
      <c r="F308" s="70">
        <f ca="1">IF(D308+Z308&lt;0.000001,0,IF(D308&lt;0.000001,F307,IF(OR(AE308=1,AND(K307&gt;0,入力設定!$B$8="返済額軽減型",入力設定!$B$11="翌月")),IF(C308=0,D308/MAX(1,E308),D308*(C308/12)/(1-(1+C308/12)^(-MAX(1,E308)))),F307)))</f>
        <v>142266.59803560199</v>
      </c>
      <c r="G308" s="70">
        <f t="shared" ca="1" si="88"/>
        <v>142266.59803560199</v>
      </c>
      <c r="H308" s="70">
        <f t="shared" ca="1" si="89"/>
        <v>39405.660317866917</v>
      </c>
      <c r="I308" s="70">
        <f t="shared" ca="1" si="90"/>
        <v>102860.93771773507</v>
      </c>
      <c r="J308" s="70">
        <f>SUMIFS(入力設定!$G$5:$G$24,入力設定!$F$5:$F$24,A308)</f>
        <v>0</v>
      </c>
      <c r="K308" s="70">
        <f t="shared" ca="1" si="91"/>
        <v>0</v>
      </c>
      <c r="L308" s="70">
        <f ca="1">IF(K308&gt;0,入力設定!$B$9,0)</f>
        <v>0</v>
      </c>
      <c r="M308" s="70">
        <f t="shared" ca="1" si="92"/>
        <v>9354497.538570324</v>
      </c>
      <c r="N308" s="70">
        <f ca="1">IF(M308+AA308&lt;0.000001,0,IF(AND(K308&gt;0,入力設定!$B$8="期間短縮型",AA308&lt;0.000001,F308&gt;M308*C308/12),MAX(1,MIN(E308-1,IF(C308=0,ROUNDUP(M308/F308,0),ROUNDUP(-LN(1-M308*(C308/12)/F308)/LN(1+C308/12),0)))),MAX(1,E308-1)))</f>
        <v>77</v>
      </c>
      <c r="O308" s="70">
        <f t="shared" ca="1" si="93"/>
        <v>142266.59803560199</v>
      </c>
      <c r="P308" s="70">
        <f t="shared" ca="1" si="107"/>
        <v>13981399.64448656</v>
      </c>
      <c r="Q308" s="70">
        <f ca="1">IF(OR(A308&gt;入力設定!$B$6*12,P308+AC308&lt;0.000001),0,IF(P308&lt;0.000001,Q307,IF(AE308=1,IF(C308=0,P308/MAX(1,入力設定!$B$6*12-A308+1),P308*(C308/12)/(1-(1+C308/12)^(-MAX(1,入力設定!$B$6*12-A308+1)))),Q307)))</f>
        <v>150233.43899513065</v>
      </c>
      <c r="R308" s="70">
        <f ca="1">IF(P308+AC308&lt;0.000001,0,IF(A308=入力設定!$B$6*12,P308+AB308+AC308,MIN(Q308,P308+AB308+AC308)))</f>
        <v>150233.43899513065</v>
      </c>
      <c r="S308" s="70">
        <f t="shared" ca="1" si="94"/>
        <v>58255.831852027331</v>
      </c>
      <c r="T308" s="70">
        <f t="shared" ca="1" si="95"/>
        <v>91977.60714310332</v>
      </c>
      <c r="U308" s="70">
        <f t="shared" ca="1" si="96"/>
        <v>13889422.037343455</v>
      </c>
      <c r="V308" s="70">
        <f t="shared" ca="1" si="97"/>
        <v>0</v>
      </c>
      <c r="W308" s="70">
        <f t="shared" ca="1" si="98"/>
        <v>0</v>
      </c>
      <c r="X308" s="70">
        <f t="shared" ca="1" si="99"/>
        <v>0</v>
      </c>
      <c r="Y308" s="71">
        <f t="shared" ca="1" si="100"/>
        <v>39405.660317866917</v>
      </c>
      <c r="Z308" s="71">
        <f t="shared" ca="1" si="108"/>
        <v>0</v>
      </c>
      <c r="AA308" s="71">
        <f t="shared" ca="1" si="101"/>
        <v>0</v>
      </c>
      <c r="AB308" s="71">
        <f t="shared" ca="1" si="102"/>
        <v>58255.831852027331</v>
      </c>
      <c r="AC308" s="71">
        <f t="shared" ca="1" si="109"/>
        <v>0</v>
      </c>
      <c r="AD308" s="71">
        <f t="shared" ca="1" si="103"/>
        <v>0</v>
      </c>
      <c r="AE308" s="72">
        <f t="shared" si="104"/>
        <v>0</v>
      </c>
      <c r="AF308" s="73">
        <f>IF(A308&gt;入力設定!$B$6*12,0,IF(AND(ISNUMBER(C308),C308&gt;=0,C308&lt;=1),0,1))</f>
        <v>0</v>
      </c>
    </row>
    <row r="309" spans="1:32" ht="21" customHeight="1">
      <c r="A309" s="68">
        <f>304</f>
        <v>304</v>
      </c>
      <c r="B309" s="69">
        <f>EDATE(入力設定!$B$7,A309-1)</f>
        <v>55550</v>
      </c>
      <c r="C309" s="80">
        <f>INDEX(入力設定!$C$15:$C$24,INT((A309-1)/60)+1)</f>
        <v>0.05</v>
      </c>
      <c r="D309" s="70">
        <f t="shared" ca="1" si="105"/>
        <v>9354497.538570324</v>
      </c>
      <c r="E309" s="70">
        <f t="shared" ca="1" si="106"/>
        <v>77</v>
      </c>
      <c r="F309" s="70">
        <f ca="1">IF(D309+Z309&lt;0.000001,0,IF(D309&lt;0.000001,F308,IF(OR(AE309=1,AND(K308&gt;0,入力設定!$B$8="返済額軽減型",入力設定!$B$11="翌月")),IF(C309=0,D309/MAX(1,E309),D309*(C309/12)/(1-(1+C309/12)^(-MAX(1,E309)))),F308)))</f>
        <v>142266.59803560199</v>
      </c>
      <c r="G309" s="70">
        <f t="shared" ca="1" si="88"/>
        <v>142266.59803560199</v>
      </c>
      <c r="H309" s="70">
        <f t="shared" ca="1" si="89"/>
        <v>38977.07307737635</v>
      </c>
      <c r="I309" s="70">
        <f t="shared" ca="1" si="90"/>
        <v>103289.52495822564</v>
      </c>
      <c r="J309" s="70">
        <f>SUMIFS(入力設定!$G$5:$G$24,入力設定!$F$5:$F$24,A309)</f>
        <v>0</v>
      </c>
      <c r="K309" s="70">
        <f t="shared" ca="1" si="91"/>
        <v>0</v>
      </c>
      <c r="L309" s="70">
        <f ca="1">IF(K309&gt;0,入力設定!$B$9,0)</f>
        <v>0</v>
      </c>
      <c r="M309" s="70">
        <f t="shared" ca="1" si="92"/>
        <v>9251208.013612099</v>
      </c>
      <c r="N309" s="70">
        <f ca="1">IF(M309+AA309&lt;0.000001,0,IF(AND(K309&gt;0,入力設定!$B$8="期間短縮型",AA309&lt;0.000001,F309&gt;M309*C309/12),MAX(1,MIN(E309-1,IF(C309=0,ROUNDUP(M309/F309,0),ROUNDUP(-LN(1-M309*(C309/12)/F309)/LN(1+C309/12),0)))),MAX(1,E309-1)))</f>
        <v>76</v>
      </c>
      <c r="O309" s="70">
        <f t="shared" ca="1" si="93"/>
        <v>142266.59803560199</v>
      </c>
      <c r="P309" s="70">
        <f t="shared" ca="1" si="107"/>
        <v>13889422.037343455</v>
      </c>
      <c r="Q309" s="70">
        <f ca="1">IF(OR(A309&gt;入力設定!$B$6*12,P309+AC309&lt;0.000001),0,IF(P309&lt;0.000001,Q308,IF(AE309=1,IF(C309=0,P309/MAX(1,入力設定!$B$6*12-A309+1),P309*(C309/12)/(1-(1+C309/12)^(-MAX(1,入力設定!$B$6*12-A309+1)))),Q308)))</f>
        <v>150233.43899513065</v>
      </c>
      <c r="R309" s="70">
        <f ca="1">IF(P309+AC309&lt;0.000001,0,IF(A309=入力設定!$B$6*12,P309+AB309+AC309,MIN(Q309,P309+AB309+AC309)))</f>
        <v>150233.43899513065</v>
      </c>
      <c r="S309" s="70">
        <f t="shared" ca="1" si="94"/>
        <v>57872.591822264403</v>
      </c>
      <c r="T309" s="70">
        <f t="shared" ca="1" si="95"/>
        <v>92360.847172866255</v>
      </c>
      <c r="U309" s="70">
        <f t="shared" ca="1" si="96"/>
        <v>13797061.19017059</v>
      </c>
      <c r="V309" s="70">
        <f t="shared" ca="1" si="97"/>
        <v>0</v>
      </c>
      <c r="W309" s="70">
        <f t="shared" ca="1" si="98"/>
        <v>0</v>
      </c>
      <c r="X309" s="70">
        <f t="shared" ca="1" si="99"/>
        <v>0</v>
      </c>
      <c r="Y309" s="71">
        <f t="shared" ca="1" si="100"/>
        <v>38977.07307737635</v>
      </c>
      <c r="Z309" s="71">
        <f t="shared" ca="1" si="108"/>
        <v>0</v>
      </c>
      <c r="AA309" s="71">
        <f t="shared" ca="1" si="101"/>
        <v>0</v>
      </c>
      <c r="AB309" s="71">
        <f t="shared" ca="1" si="102"/>
        <v>57872.591822264403</v>
      </c>
      <c r="AC309" s="71">
        <f t="shared" ca="1" si="109"/>
        <v>0</v>
      </c>
      <c r="AD309" s="71">
        <f t="shared" ca="1" si="103"/>
        <v>0</v>
      </c>
      <c r="AE309" s="72">
        <f t="shared" si="104"/>
        <v>0</v>
      </c>
      <c r="AF309" s="73">
        <f>IF(A309&gt;入力設定!$B$6*12,0,IF(AND(ISNUMBER(C309),C309&gt;=0,C309&lt;=1),0,1))</f>
        <v>0</v>
      </c>
    </row>
    <row r="310" spans="1:32" ht="21" customHeight="1">
      <c r="A310" s="68">
        <f>305</f>
        <v>305</v>
      </c>
      <c r="B310" s="69">
        <f>EDATE(入力設定!$B$7,A310-1)</f>
        <v>55579</v>
      </c>
      <c r="C310" s="80">
        <f>INDEX(入力設定!$C$15:$C$24,INT((A310-1)/60)+1)</f>
        <v>0.05</v>
      </c>
      <c r="D310" s="70">
        <f t="shared" ca="1" si="105"/>
        <v>9251208.013612099</v>
      </c>
      <c r="E310" s="70">
        <f t="shared" ca="1" si="106"/>
        <v>76</v>
      </c>
      <c r="F310" s="70">
        <f ca="1">IF(D310+Z310&lt;0.000001,0,IF(D310&lt;0.000001,F309,IF(OR(AE310=1,AND(K309&gt;0,入力設定!$B$8="返済額軽減型",入力設定!$B$11="翌月")),IF(C310=0,D310/MAX(1,E310),D310*(C310/12)/(1-(1+C310/12)^(-MAX(1,E310)))),F309)))</f>
        <v>142266.59803560199</v>
      </c>
      <c r="G310" s="70">
        <f t="shared" ca="1" si="88"/>
        <v>142266.59803560199</v>
      </c>
      <c r="H310" s="70">
        <f t="shared" ca="1" si="89"/>
        <v>38546.700056717083</v>
      </c>
      <c r="I310" s="70">
        <f t="shared" ca="1" si="90"/>
        <v>103719.8979788849</v>
      </c>
      <c r="J310" s="70">
        <f>SUMIFS(入力設定!$G$5:$G$24,入力設定!$F$5:$F$24,A310)</f>
        <v>0</v>
      </c>
      <c r="K310" s="70">
        <f t="shared" ca="1" si="91"/>
        <v>0</v>
      </c>
      <c r="L310" s="70">
        <f ca="1">IF(K310&gt;0,入力設定!$B$9,0)</f>
        <v>0</v>
      </c>
      <c r="M310" s="70">
        <f t="shared" ca="1" si="92"/>
        <v>9147488.1156332139</v>
      </c>
      <c r="N310" s="70">
        <f ca="1">IF(M310+AA310&lt;0.000001,0,IF(AND(K310&gt;0,入力設定!$B$8="期間短縮型",AA310&lt;0.000001,F310&gt;M310*C310/12),MAX(1,MIN(E310-1,IF(C310=0,ROUNDUP(M310/F310,0),ROUNDUP(-LN(1-M310*(C310/12)/F310)/LN(1+C310/12),0)))),MAX(1,E310-1)))</f>
        <v>75</v>
      </c>
      <c r="O310" s="70">
        <f t="shared" ca="1" si="93"/>
        <v>142266.59803560199</v>
      </c>
      <c r="P310" s="70">
        <f t="shared" ca="1" si="107"/>
        <v>13797061.19017059</v>
      </c>
      <c r="Q310" s="70">
        <f ca="1">IF(OR(A310&gt;入力設定!$B$6*12,P310+AC310&lt;0.000001),0,IF(P310&lt;0.000001,Q309,IF(AE310=1,IF(C310=0,P310/MAX(1,入力設定!$B$6*12-A310+1),P310*(C310/12)/(1-(1+C310/12)^(-MAX(1,入力設定!$B$6*12-A310+1)))),Q309)))</f>
        <v>150233.43899513065</v>
      </c>
      <c r="R310" s="70">
        <f ca="1">IF(P310+AC310&lt;0.000001,0,IF(A310=入力設定!$B$6*12,P310+AB310+AC310,MIN(Q310,P310+AB310+AC310)))</f>
        <v>150233.43899513065</v>
      </c>
      <c r="S310" s="70">
        <f t="shared" ca="1" si="94"/>
        <v>57487.754959044127</v>
      </c>
      <c r="T310" s="70">
        <f t="shared" ca="1" si="95"/>
        <v>92745.684036086517</v>
      </c>
      <c r="U310" s="70">
        <f t="shared" ca="1" si="96"/>
        <v>13704315.506134503</v>
      </c>
      <c r="V310" s="70">
        <f t="shared" ca="1" si="97"/>
        <v>0</v>
      </c>
      <c r="W310" s="70">
        <f t="shared" ca="1" si="98"/>
        <v>0</v>
      </c>
      <c r="X310" s="70">
        <f t="shared" ca="1" si="99"/>
        <v>0</v>
      </c>
      <c r="Y310" s="71">
        <f t="shared" ca="1" si="100"/>
        <v>38546.700056717083</v>
      </c>
      <c r="Z310" s="71">
        <f t="shared" ca="1" si="108"/>
        <v>0</v>
      </c>
      <c r="AA310" s="71">
        <f t="shared" ca="1" si="101"/>
        <v>0</v>
      </c>
      <c r="AB310" s="71">
        <f t="shared" ca="1" si="102"/>
        <v>57487.754959044127</v>
      </c>
      <c r="AC310" s="71">
        <f t="shared" ca="1" si="109"/>
        <v>0</v>
      </c>
      <c r="AD310" s="71">
        <f t="shared" ca="1" si="103"/>
        <v>0</v>
      </c>
      <c r="AE310" s="72">
        <f t="shared" si="104"/>
        <v>0</v>
      </c>
      <c r="AF310" s="73">
        <f>IF(A310&gt;入力設定!$B$6*12,0,IF(AND(ISNUMBER(C310),C310&gt;=0,C310&lt;=1),0,1))</f>
        <v>0</v>
      </c>
    </row>
    <row r="311" spans="1:32" ht="21" customHeight="1">
      <c r="A311" s="68">
        <f>306</f>
        <v>306</v>
      </c>
      <c r="B311" s="69">
        <f>EDATE(入力設定!$B$7,A311-1)</f>
        <v>55610</v>
      </c>
      <c r="C311" s="80">
        <f>INDEX(入力設定!$C$15:$C$24,INT((A311-1)/60)+1)</f>
        <v>0.05</v>
      </c>
      <c r="D311" s="70">
        <f t="shared" ca="1" si="105"/>
        <v>9147488.1156332139</v>
      </c>
      <c r="E311" s="70">
        <f t="shared" ca="1" si="106"/>
        <v>75</v>
      </c>
      <c r="F311" s="70">
        <f ca="1">IF(D311+Z311&lt;0.000001,0,IF(D311&lt;0.000001,F310,IF(OR(AE311=1,AND(K310&gt;0,入力設定!$B$8="返済額軽減型",入力設定!$B$11="翌月")),IF(C311=0,D311/MAX(1,E311),D311*(C311/12)/(1-(1+C311/12)^(-MAX(1,E311)))),F310)))</f>
        <v>142266.59803560199</v>
      </c>
      <c r="G311" s="70">
        <f t="shared" ca="1" si="88"/>
        <v>142266.59803560199</v>
      </c>
      <c r="H311" s="70">
        <f t="shared" ca="1" si="89"/>
        <v>38114.533815138391</v>
      </c>
      <c r="I311" s="70">
        <f t="shared" ca="1" si="90"/>
        <v>104152.0642204636</v>
      </c>
      <c r="J311" s="70">
        <f>SUMIFS(入力設定!$G$5:$G$24,入力設定!$F$5:$F$24,A311)</f>
        <v>0</v>
      </c>
      <c r="K311" s="70">
        <f t="shared" ca="1" si="91"/>
        <v>0</v>
      </c>
      <c r="L311" s="70">
        <f ca="1">IF(K311&gt;0,入力設定!$B$9,0)</f>
        <v>0</v>
      </c>
      <c r="M311" s="70">
        <f t="shared" ca="1" si="92"/>
        <v>9043336.05141275</v>
      </c>
      <c r="N311" s="70">
        <f ca="1">IF(M311+AA311&lt;0.000001,0,IF(AND(K311&gt;0,入力設定!$B$8="期間短縮型",AA311&lt;0.000001,F311&gt;M311*C311/12),MAX(1,MIN(E311-1,IF(C311=0,ROUNDUP(M311/F311,0),ROUNDUP(-LN(1-M311*(C311/12)/F311)/LN(1+C311/12),0)))),MAX(1,E311-1)))</f>
        <v>74</v>
      </c>
      <c r="O311" s="70">
        <f t="shared" ca="1" si="93"/>
        <v>142266.59803560199</v>
      </c>
      <c r="P311" s="70">
        <f t="shared" ca="1" si="107"/>
        <v>13704315.506134503</v>
      </c>
      <c r="Q311" s="70">
        <f ca="1">IF(OR(A311&gt;入力設定!$B$6*12,P311+AC311&lt;0.000001),0,IF(P311&lt;0.000001,Q310,IF(AE311=1,IF(C311=0,P311/MAX(1,入力設定!$B$6*12-A311+1),P311*(C311/12)/(1-(1+C311/12)^(-MAX(1,入力設定!$B$6*12-A311+1)))),Q310)))</f>
        <v>150233.43899513065</v>
      </c>
      <c r="R311" s="70">
        <f ca="1">IF(P311+AC311&lt;0.000001,0,IF(A311=入力設定!$B$6*12,P311+AB311+AC311,MIN(Q311,P311+AB311+AC311)))</f>
        <v>150233.43899513065</v>
      </c>
      <c r="S311" s="70">
        <f t="shared" ca="1" si="94"/>
        <v>57101.314608893765</v>
      </c>
      <c r="T311" s="70">
        <f t="shared" ca="1" si="95"/>
        <v>93132.124386236886</v>
      </c>
      <c r="U311" s="70">
        <f t="shared" ca="1" si="96"/>
        <v>13611183.381748267</v>
      </c>
      <c r="V311" s="70">
        <f t="shared" ca="1" si="97"/>
        <v>0</v>
      </c>
      <c r="W311" s="70">
        <f t="shared" ca="1" si="98"/>
        <v>0</v>
      </c>
      <c r="X311" s="70">
        <f t="shared" ca="1" si="99"/>
        <v>0</v>
      </c>
      <c r="Y311" s="71">
        <f t="shared" ca="1" si="100"/>
        <v>38114.533815138391</v>
      </c>
      <c r="Z311" s="71">
        <f t="shared" ca="1" si="108"/>
        <v>0</v>
      </c>
      <c r="AA311" s="71">
        <f t="shared" ca="1" si="101"/>
        <v>0</v>
      </c>
      <c r="AB311" s="71">
        <f t="shared" ca="1" si="102"/>
        <v>57101.314608893765</v>
      </c>
      <c r="AC311" s="71">
        <f t="shared" ca="1" si="109"/>
        <v>0</v>
      </c>
      <c r="AD311" s="71">
        <f t="shared" ca="1" si="103"/>
        <v>0</v>
      </c>
      <c r="AE311" s="72">
        <f t="shared" si="104"/>
        <v>0</v>
      </c>
      <c r="AF311" s="73">
        <f>IF(A311&gt;入力設定!$B$6*12,0,IF(AND(ISNUMBER(C311),C311&gt;=0,C311&lt;=1),0,1))</f>
        <v>0</v>
      </c>
    </row>
    <row r="312" spans="1:32" ht="21" customHeight="1">
      <c r="A312" s="68">
        <f>307</f>
        <v>307</v>
      </c>
      <c r="B312" s="69">
        <f>EDATE(入力設定!$B$7,A312-1)</f>
        <v>55640</v>
      </c>
      <c r="C312" s="80">
        <f>INDEX(入力設定!$C$15:$C$24,INT((A312-1)/60)+1)</f>
        <v>0.05</v>
      </c>
      <c r="D312" s="70">
        <f t="shared" ca="1" si="105"/>
        <v>9043336.05141275</v>
      </c>
      <c r="E312" s="70">
        <f t="shared" ca="1" si="106"/>
        <v>74</v>
      </c>
      <c r="F312" s="70">
        <f ca="1">IF(D312+Z312&lt;0.000001,0,IF(D312&lt;0.000001,F311,IF(OR(AE312=1,AND(K311&gt;0,入力設定!$B$8="返済額軽減型",入力設定!$B$11="翌月")),IF(C312=0,D312/MAX(1,E312),D312*(C312/12)/(1-(1+C312/12)^(-MAX(1,E312)))),F311)))</f>
        <v>142266.59803560199</v>
      </c>
      <c r="G312" s="70">
        <f t="shared" ca="1" si="88"/>
        <v>142266.59803560199</v>
      </c>
      <c r="H312" s="70">
        <f t="shared" ca="1" si="89"/>
        <v>37680.566880886465</v>
      </c>
      <c r="I312" s="70">
        <f t="shared" ca="1" si="90"/>
        <v>104586.03115471551</v>
      </c>
      <c r="J312" s="70">
        <f>SUMIFS(入力設定!$G$5:$G$24,入力設定!$F$5:$F$24,A312)</f>
        <v>0</v>
      </c>
      <c r="K312" s="70">
        <f t="shared" ca="1" si="91"/>
        <v>0</v>
      </c>
      <c r="L312" s="70">
        <f ca="1">IF(K312&gt;0,入力設定!$B$9,0)</f>
        <v>0</v>
      </c>
      <c r="M312" s="70">
        <f t="shared" ca="1" si="92"/>
        <v>8938750.0202580336</v>
      </c>
      <c r="N312" s="70">
        <f ca="1">IF(M312+AA312&lt;0.000001,0,IF(AND(K312&gt;0,入力設定!$B$8="期間短縮型",AA312&lt;0.000001,F312&gt;M312*C312/12),MAX(1,MIN(E312-1,IF(C312=0,ROUNDUP(M312/F312,0),ROUNDUP(-LN(1-M312*(C312/12)/F312)/LN(1+C312/12),0)))),MAX(1,E312-1)))</f>
        <v>73</v>
      </c>
      <c r="O312" s="70">
        <f t="shared" ca="1" si="93"/>
        <v>142266.59803560199</v>
      </c>
      <c r="P312" s="70">
        <f t="shared" ca="1" si="107"/>
        <v>13611183.381748267</v>
      </c>
      <c r="Q312" s="70">
        <f ca="1">IF(OR(A312&gt;入力設定!$B$6*12,P312+AC312&lt;0.000001),0,IF(P312&lt;0.000001,Q311,IF(AE312=1,IF(C312=0,P312/MAX(1,入力設定!$B$6*12-A312+1),P312*(C312/12)/(1-(1+C312/12)^(-MAX(1,入力設定!$B$6*12-A312+1)))),Q311)))</f>
        <v>150233.43899513065</v>
      </c>
      <c r="R312" s="70">
        <f ca="1">IF(P312+AC312&lt;0.000001,0,IF(A312=入力設定!$B$6*12,P312+AB312+AC312,MIN(Q312,P312+AB312+AC312)))</f>
        <v>150233.43899513065</v>
      </c>
      <c r="S312" s="70">
        <f t="shared" ca="1" si="94"/>
        <v>56713.264090617777</v>
      </c>
      <c r="T312" s="70">
        <f t="shared" ca="1" si="95"/>
        <v>93520.174904512882</v>
      </c>
      <c r="U312" s="70">
        <f t="shared" ca="1" si="96"/>
        <v>13517663.206843754</v>
      </c>
      <c r="V312" s="70">
        <f t="shared" ca="1" si="97"/>
        <v>0</v>
      </c>
      <c r="W312" s="70">
        <f t="shared" ca="1" si="98"/>
        <v>0</v>
      </c>
      <c r="X312" s="70">
        <f t="shared" ca="1" si="99"/>
        <v>0</v>
      </c>
      <c r="Y312" s="71">
        <f t="shared" ca="1" si="100"/>
        <v>37680.566880886465</v>
      </c>
      <c r="Z312" s="71">
        <f t="shared" ca="1" si="108"/>
        <v>0</v>
      </c>
      <c r="AA312" s="71">
        <f t="shared" ca="1" si="101"/>
        <v>0</v>
      </c>
      <c r="AB312" s="71">
        <f t="shared" ca="1" si="102"/>
        <v>56713.264090617777</v>
      </c>
      <c r="AC312" s="71">
        <f t="shared" ca="1" si="109"/>
        <v>0</v>
      </c>
      <c r="AD312" s="71">
        <f t="shared" ca="1" si="103"/>
        <v>0</v>
      </c>
      <c r="AE312" s="72">
        <f t="shared" si="104"/>
        <v>0</v>
      </c>
      <c r="AF312" s="73">
        <f>IF(A312&gt;入力設定!$B$6*12,0,IF(AND(ISNUMBER(C312),C312&gt;=0,C312&lt;=1),0,1))</f>
        <v>0</v>
      </c>
    </row>
    <row r="313" spans="1:32" ht="21" customHeight="1">
      <c r="A313" s="68">
        <f>308</f>
        <v>308</v>
      </c>
      <c r="B313" s="69">
        <f>EDATE(入力設定!$B$7,A313-1)</f>
        <v>55671</v>
      </c>
      <c r="C313" s="80">
        <f>INDEX(入力設定!$C$15:$C$24,INT((A313-1)/60)+1)</f>
        <v>0.05</v>
      </c>
      <c r="D313" s="70">
        <f t="shared" ca="1" si="105"/>
        <v>8938750.0202580336</v>
      </c>
      <c r="E313" s="70">
        <f t="shared" ca="1" si="106"/>
        <v>73</v>
      </c>
      <c r="F313" s="70">
        <f ca="1">IF(D313+Z313&lt;0.000001,0,IF(D313&lt;0.000001,F312,IF(OR(AE313=1,AND(K312&gt;0,入力設定!$B$8="返済額軽減型",入力設定!$B$11="翌月")),IF(C313=0,D313/MAX(1,E313),D313*(C313/12)/(1-(1+C313/12)^(-MAX(1,E313)))),F312)))</f>
        <v>142266.59803560199</v>
      </c>
      <c r="G313" s="70">
        <f t="shared" ca="1" si="88"/>
        <v>142266.59803560199</v>
      </c>
      <c r="H313" s="70">
        <f t="shared" ca="1" si="89"/>
        <v>37244.791751075143</v>
      </c>
      <c r="I313" s="70">
        <f t="shared" ca="1" si="90"/>
        <v>105021.80628452684</v>
      </c>
      <c r="J313" s="70">
        <f>SUMIFS(入力設定!$G$5:$G$24,入力設定!$F$5:$F$24,A313)</f>
        <v>0</v>
      </c>
      <c r="K313" s="70">
        <f t="shared" ca="1" si="91"/>
        <v>0</v>
      </c>
      <c r="L313" s="70">
        <f ca="1">IF(K313&gt;0,入力設定!$B$9,0)</f>
        <v>0</v>
      </c>
      <c r="M313" s="70">
        <f t="shared" ca="1" si="92"/>
        <v>8833728.2139735073</v>
      </c>
      <c r="N313" s="70">
        <f ca="1">IF(M313+AA313&lt;0.000001,0,IF(AND(K313&gt;0,入力設定!$B$8="期間短縮型",AA313&lt;0.000001,F313&gt;M313*C313/12),MAX(1,MIN(E313-1,IF(C313=0,ROUNDUP(M313/F313,0),ROUNDUP(-LN(1-M313*(C313/12)/F313)/LN(1+C313/12),0)))),MAX(1,E313-1)))</f>
        <v>72</v>
      </c>
      <c r="O313" s="70">
        <f t="shared" ca="1" si="93"/>
        <v>142266.59803560199</v>
      </c>
      <c r="P313" s="70">
        <f t="shared" ca="1" si="107"/>
        <v>13517663.206843754</v>
      </c>
      <c r="Q313" s="70">
        <f ca="1">IF(OR(A313&gt;入力設定!$B$6*12,P313+AC313&lt;0.000001),0,IF(P313&lt;0.000001,Q312,IF(AE313=1,IF(C313=0,P313/MAX(1,入力設定!$B$6*12-A313+1),P313*(C313/12)/(1-(1+C313/12)^(-MAX(1,入力設定!$B$6*12-A313+1)))),Q312)))</f>
        <v>150233.43899513065</v>
      </c>
      <c r="R313" s="70">
        <f ca="1">IF(P313+AC313&lt;0.000001,0,IF(A313=入力設定!$B$6*12,P313+AB313+AC313,MIN(Q313,P313+AB313+AC313)))</f>
        <v>150233.43899513065</v>
      </c>
      <c r="S313" s="70">
        <f t="shared" ca="1" si="94"/>
        <v>56323.596695182314</v>
      </c>
      <c r="T313" s="70">
        <f t="shared" ca="1" si="95"/>
        <v>93909.84229994833</v>
      </c>
      <c r="U313" s="70">
        <f t="shared" ca="1" si="96"/>
        <v>13423753.364543807</v>
      </c>
      <c r="V313" s="70">
        <f t="shared" ca="1" si="97"/>
        <v>0</v>
      </c>
      <c r="W313" s="70">
        <f t="shared" ca="1" si="98"/>
        <v>0</v>
      </c>
      <c r="X313" s="70">
        <f t="shared" ca="1" si="99"/>
        <v>0</v>
      </c>
      <c r="Y313" s="71">
        <f t="shared" ca="1" si="100"/>
        <v>37244.791751075143</v>
      </c>
      <c r="Z313" s="71">
        <f t="shared" ca="1" si="108"/>
        <v>0</v>
      </c>
      <c r="AA313" s="71">
        <f t="shared" ca="1" si="101"/>
        <v>0</v>
      </c>
      <c r="AB313" s="71">
        <f t="shared" ca="1" si="102"/>
        <v>56323.596695182314</v>
      </c>
      <c r="AC313" s="71">
        <f t="shared" ca="1" si="109"/>
        <v>0</v>
      </c>
      <c r="AD313" s="71">
        <f t="shared" ca="1" si="103"/>
        <v>0</v>
      </c>
      <c r="AE313" s="72">
        <f t="shared" si="104"/>
        <v>0</v>
      </c>
      <c r="AF313" s="73">
        <f>IF(A313&gt;入力設定!$B$6*12,0,IF(AND(ISNUMBER(C313),C313&gt;=0,C313&lt;=1),0,1))</f>
        <v>0</v>
      </c>
    </row>
    <row r="314" spans="1:32" ht="21" customHeight="1">
      <c r="A314" s="68">
        <f>309</f>
        <v>309</v>
      </c>
      <c r="B314" s="69">
        <f>EDATE(入力設定!$B$7,A314-1)</f>
        <v>55701</v>
      </c>
      <c r="C314" s="80">
        <f>INDEX(入力設定!$C$15:$C$24,INT((A314-1)/60)+1)</f>
        <v>0.05</v>
      </c>
      <c r="D314" s="70">
        <f t="shared" ca="1" si="105"/>
        <v>8833728.2139735073</v>
      </c>
      <c r="E314" s="70">
        <f t="shared" ca="1" si="106"/>
        <v>72</v>
      </c>
      <c r="F314" s="70">
        <f ca="1">IF(D314+Z314&lt;0.000001,0,IF(D314&lt;0.000001,F313,IF(OR(AE314=1,AND(K313&gt;0,入力設定!$B$8="返済額軽減型",入力設定!$B$11="翌月")),IF(C314=0,D314/MAX(1,E314),D314*(C314/12)/(1-(1+C314/12)^(-MAX(1,E314)))),F313)))</f>
        <v>142266.59803560199</v>
      </c>
      <c r="G314" s="70">
        <f t="shared" ca="1" si="88"/>
        <v>142266.59803560199</v>
      </c>
      <c r="H314" s="70">
        <f t="shared" ca="1" si="89"/>
        <v>36807.200891556284</v>
      </c>
      <c r="I314" s="70">
        <f t="shared" ca="1" si="90"/>
        <v>105459.39714404571</v>
      </c>
      <c r="J314" s="70">
        <f>SUMIFS(入力設定!$G$5:$G$24,入力設定!$F$5:$F$24,A314)</f>
        <v>0</v>
      </c>
      <c r="K314" s="70">
        <f t="shared" ca="1" si="91"/>
        <v>0</v>
      </c>
      <c r="L314" s="70">
        <f ca="1">IF(K314&gt;0,入力設定!$B$9,0)</f>
        <v>0</v>
      </c>
      <c r="M314" s="70">
        <f t="shared" ca="1" si="92"/>
        <v>8728268.8168294616</v>
      </c>
      <c r="N314" s="70">
        <f ca="1">IF(M314+AA314&lt;0.000001,0,IF(AND(K314&gt;0,入力設定!$B$8="期間短縮型",AA314&lt;0.000001,F314&gt;M314*C314/12),MAX(1,MIN(E314-1,IF(C314=0,ROUNDUP(M314/F314,0),ROUNDUP(-LN(1-M314*(C314/12)/F314)/LN(1+C314/12),0)))),MAX(1,E314-1)))</f>
        <v>71</v>
      </c>
      <c r="O314" s="70">
        <f t="shared" ca="1" si="93"/>
        <v>142266.59803560199</v>
      </c>
      <c r="P314" s="70">
        <f t="shared" ca="1" si="107"/>
        <v>13423753.364543807</v>
      </c>
      <c r="Q314" s="70">
        <f ca="1">IF(OR(A314&gt;入力設定!$B$6*12,P314+AC314&lt;0.000001),0,IF(P314&lt;0.000001,Q313,IF(AE314=1,IF(C314=0,P314/MAX(1,入力設定!$B$6*12-A314+1),P314*(C314/12)/(1-(1+C314/12)^(-MAX(1,入力設定!$B$6*12-A314+1)))),Q313)))</f>
        <v>150233.43899513065</v>
      </c>
      <c r="R314" s="70">
        <f ca="1">IF(P314+AC314&lt;0.000001,0,IF(A314=入力設定!$B$6*12,P314+AB314+AC314,MIN(Q314,P314+AB314+AC314)))</f>
        <v>150233.43899513065</v>
      </c>
      <c r="S314" s="70">
        <f t="shared" ca="1" si="94"/>
        <v>55932.305685599196</v>
      </c>
      <c r="T314" s="70">
        <f t="shared" ca="1" si="95"/>
        <v>94301.133309531462</v>
      </c>
      <c r="U314" s="70">
        <f t="shared" ca="1" si="96"/>
        <v>13329452.231234275</v>
      </c>
      <c r="V314" s="70">
        <f t="shared" ca="1" si="97"/>
        <v>0</v>
      </c>
      <c r="W314" s="70">
        <f t="shared" ca="1" si="98"/>
        <v>0</v>
      </c>
      <c r="X314" s="70">
        <f t="shared" ca="1" si="99"/>
        <v>0</v>
      </c>
      <c r="Y314" s="71">
        <f t="shared" ca="1" si="100"/>
        <v>36807.200891556284</v>
      </c>
      <c r="Z314" s="71">
        <f t="shared" ca="1" si="108"/>
        <v>0</v>
      </c>
      <c r="AA314" s="71">
        <f t="shared" ca="1" si="101"/>
        <v>0</v>
      </c>
      <c r="AB314" s="71">
        <f t="shared" ca="1" si="102"/>
        <v>55932.305685599196</v>
      </c>
      <c r="AC314" s="71">
        <f t="shared" ca="1" si="109"/>
        <v>0</v>
      </c>
      <c r="AD314" s="71">
        <f t="shared" ca="1" si="103"/>
        <v>0</v>
      </c>
      <c r="AE314" s="72">
        <f t="shared" si="104"/>
        <v>0</v>
      </c>
      <c r="AF314" s="73">
        <f>IF(A314&gt;入力設定!$B$6*12,0,IF(AND(ISNUMBER(C314),C314&gt;=0,C314&lt;=1),0,1))</f>
        <v>0</v>
      </c>
    </row>
    <row r="315" spans="1:32" ht="21" customHeight="1">
      <c r="A315" s="68">
        <f>310</f>
        <v>310</v>
      </c>
      <c r="B315" s="69">
        <f>EDATE(入力設定!$B$7,A315-1)</f>
        <v>55732</v>
      </c>
      <c r="C315" s="80">
        <f>INDEX(入力設定!$C$15:$C$24,INT((A315-1)/60)+1)</f>
        <v>0.05</v>
      </c>
      <c r="D315" s="70">
        <f t="shared" ca="1" si="105"/>
        <v>8728268.8168294616</v>
      </c>
      <c r="E315" s="70">
        <f t="shared" ca="1" si="106"/>
        <v>71</v>
      </c>
      <c r="F315" s="70">
        <f ca="1">IF(D315+Z315&lt;0.000001,0,IF(D315&lt;0.000001,F314,IF(OR(AE315=1,AND(K314&gt;0,入力設定!$B$8="返済額軽減型",入力設定!$B$11="翌月")),IF(C315=0,D315/MAX(1,E315),D315*(C315/12)/(1-(1+C315/12)^(-MAX(1,E315)))),F314)))</f>
        <v>142266.59803560199</v>
      </c>
      <c r="G315" s="70">
        <f t="shared" ca="1" si="88"/>
        <v>142266.59803560199</v>
      </c>
      <c r="H315" s="70">
        <f t="shared" ca="1" si="89"/>
        <v>36367.786736789429</v>
      </c>
      <c r="I315" s="70">
        <f t="shared" ca="1" si="90"/>
        <v>105898.81129881256</v>
      </c>
      <c r="J315" s="70">
        <f>SUMIFS(入力設定!$G$5:$G$24,入力設定!$F$5:$F$24,A315)</f>
        <v>0</v>
      </c>
      <c r="K315" s="70">
        <f t="shared" ca="1" si="91"/>
        <v>0</v>
      </c>
      <c r="L315" s="70">
        <f ca="1">IF(K315&gt;0,入力設定!$B$9,0)</f>
        <v>0</v>
      </c>
      <c r="M315" s="70">
        <f t="shared" ca="1" si="92"/>
        <v>8622370.0055306498</v>
      </c>
      <c r="N315" s="70">
        <f ca="1">IF(M315+AA315&lt;0.000001,0,IF(AND(K315&gt;0,入力設定!$B$8="期間短縮型",AA315&lt;0.000001,F315&gt;M315*C315/12),MAX(1,MIN(E315-1,IF(C315=0,ROUNDUP(M315/F315,0),ROUNDUP(-LN(1-M315*(C315/12)/F315)/LN(1+C315/12),0)))),MAX(1,E315-1)))</f>
        <v>70</v>
      </c>
      <c r="O315" s="70">
        <f t="shared" ca="1" si="93"/>
        <v>142266.59803560199</v>
      </c>
      <c r="P315" s="70">
        <f t="shared" ca="1" si="107"/>
        <v>13329452.231234275</v>
      </c>
      <c r="Q315" s="70">
        <f ca="1">IF(OR(A315&gt;入力設定!$B$6*12,P315+AC315&lt;0.000001),0,IF(P315&lt;0.000001,Q314,IF(AE315=1,IF(C315=0,P315/MAX(1,入力設定!$B$6*12-A315+1),P315*(C315/12)/(1-(1+C315/12)^(-MAX(1,入力設定!$B$6*12-A315+1)))),Q314)))</f>
        <v>150233.43899513065</v>
      </c>
      <c r="R315" s="70">
        <f ca="1">IF(P315+AC315&lt;0.000001,0,IF(A315=入力設定!$B$6*12,P315+AB315+AC315,MIN(Q315,P315+AB315+AC315)))</f>
        <v>150233.43899513065</v>
      </c>
      <c r="S315" s="70">
        <f t="shared" ca="1" si="94"/>
        <v>55539.384296809476</v>
      </c>
      <c r="T315" s="70">
        <f t="shared" ca="1" si="95"/>
        <v>94694.054698321183</v>
      </c>
      <c r="U315" s="70">
        <f t="shared" ca="1" si="96"/>
        <v>13234758.176535953</v>
      </c>
      <c r="V315" s="70">
        <f t="shared" ca="1" si="97"/>
        <v>0</v>
      </c>
      <c r="W315" s="70">
        <f t="shared" ca="1" si="98"/>
        <v>0</v>
      </c>
      <c r="X315" s="70">
        <f t="shared" ca="1" si="99"/>
        <v>0</v>
      </c>
      <c r="Y315" s="71">
        <f t="shared" ca="1" si="100"/>
        <v>36367.786736789429</v>
      </c>
      <c r="Z315" s="71">
        <f t="shared" ca="1" si="108"/>
        <v>0</v>
      </c>
      <c r="AA315" s="71">
        <f t="shared" ca="1" si="101"/>
        <v>0</v>
      </c>
      <c r="AB315" s="71">
        <f t="shared" ca="1" si="102"/>
        <v>55539.384296809476</v>
      </c>
      <c r="AC315" s="71">
        <f t="shared" ca="1" si="109"/>
        <v>0</v>
      </c>
      <c r="AD315" s="71">
        <f t="shared" ca="1" si="103"/>
        <v>0</v>
      </c>
      <c r="AE315" s="72">
        <f t="shared" si="104"/>
        <v>0</v>
      </c>
      <c r="AF315" s="73">
        <f>IF(A315&gt;入力設定!$B$6*12,0,IF(AND(ISNUMBER(C315),C315&gt;=0,C315&lt;=1),0,1))</f>
        <v>0</v>
      </c>
    </row>
    <row r="316" spans="1:32" ht="21" customHeight="1">
      <c r="A316" s="68">
        <f>311</f>
        <v>311</v>
      </c>
      <c r="B316" s="69">
        <f>EDATE(入力設定!$B$7,A316-1)</f>
        <v>55763</v>
      </c>
      <c r="C316" s="80">
        <f>INDEX(入力設定!$C$15:$C$24,INT((A316-1)/60)+1)</f>
        <v>0.05</v>
      </c>
      <c r="D316" s="70">
        <f t="shared" ca="1" si="105"/>
        <v>8622370.0055306498</v>
      </c>
      <c r="E316" s="70">
        <f t="shared" ca="1" si="106"/>
        <v>70</v>
      </c>
      <c r="F316" s="70">
        <f ca="1">IF(D316+Z316&lt;0.000001,0,IF(D316&lt;0.000001,F315,IF(OR(AE316=1,AND(K315&gt;0,入力設定!$B$8="返済額軽減型",入力設定!$B$11="翌月")),IF(C316=0,D316/MAX(1,E316),D316*(C316/12)/(1-(1+C316/12)^(-MAX(1,E316)))),F315)))</f>
        <v>142266.59803560199</v>
      </c>
      <c r="G316" s="70">
        <f t="shared" ca="1" si="88"/>
        <v>142266.59803560199</v>
      </c>
      <c r="H316" s="70">
        <f t="shared" ca="1" si="89"/>
        <v>35926.541689711041</v>
      </c>
      <c r="I316" s="70">
        <f t="shared" ca="1" si="90"/>
        <v>106340.05634589095</v>
      </c>
      <c r="J316" s="70">
        <f>SUMIFS(入力設定!$G$5:$G$24,入力設定!$F$5:$F$24,A316)</f>
        <v>0</v>
      </c>
      <c r="K316" s="70">
        <f t="shared" ca="1" si="91"/>
        <v>0</v>
      </c>
      <c r="L316" s="70">
        <f ca="1">IF(K316&gt;0,入力設定!$B$9,0)</f>
        <v>0</v>
      </c>
      <c r="M316" s="70">
        <f t="shared" ca="1" si="92"/>
        <v>8516029.9491847586</v>
      </c>
      <c r="N316" s="70">
        <f ca="1">IF(M316+AA316&lt;0.000001,0,IF(AND(K316&gt;0,入力設定!$B$8="期間短縮型",AA316&lt;0.000001,F316&gt;M316*C316/12),MAX(1,MIN(E316-1,IF(C316=0,ROUNDUP(M316/F316,0),ROUNDUP(-LN(1-M316*(C316/12)/F316)/LN(1+C316/12),0)))),MAX(1,E316-1)))</f>
        <v>69</v>
      </c>
      <c r="O316" s="70">
        <f t="shared" ca="1" si="93"/>
        <v>142266.59803560199</v>
      </c>
      <c r="P316" s="70">
        <f t="shared" ca="1" si="107"/>
        <v>13234758.176535953</v>
      </c>
      <c r="Q316" s="70">
        <f ca="1">IF(OR(A316&gt;入力設定!$B$6*12,P316+AC316&lt;0.000001),0,IF(P316&lt;0.000001,Q315,IF(AE316=1,IF(C316=0,P316/MAX(1,入力設定!$B$6*12-A316+1),P316*(C316/12)/(1-(1+C316/12)^(-MAX(1,入力設定!$B$6*12-A316+1)))),Q315)))</f>
        <v>150233.43899513065</v>
      </c>
      <c r="R316" s="70">
        <f ca="1">IF(P316+AC316&lt;0.000001,0,IF(A316=入力設定!$B$6*12,P316+AB316+AC316,MIN(Q316,P316+AB316+AC316)))</f>
        <v>150233.43899513065</v>
      </c>
      <c r="S316" s="70">
        <f t="shared" ca="1" si="94"/>
        <v>55144.825735566475</v>
      </c>
      <c r="T316" s="70">
        <f t="shared" ca="1" si="95"/>
        <v>95088.613259564183</v>
      </c>
      <c r="U316" s="70">
        <f t="shared" ca="1" si="96"/>
        <v>13139669.563276388</v>
      </c>
      <c r="V316" s="70">
        <f t="shared" ca="1" si="97"/>
        <v>0</v>
      </c>
      <c r="W316" s="70">
        <f t="shared" ca="1" si="98"/>
        <v>0</v>
      </c>
      <c r="X316" s="70">
        <f t="shared" ca="1" si="99"/>
        <v>0</v>
      </c>
      <c r="Y316" s="71">
        <f t="shared" ca="1" si="100"/>
        <v>35926.541689711041</v>
      </c>
      <c r="Z316" s="71">
        <f t="shared" ca="1" si="108"/>
        <v>0</v>
      </c>
      <c r="AA316" s="71">
        <f t="shared" ca="1" si="101"/>
        <v>0</v>
      </c>
      <c r="AB316" s="71">
        <f t="shared" ca="1" si="102"/>
        <v>55144.825735566475</v>
      </c>
      <c r="AC316" s="71">
        <f t="shared" ca="1" si="109"/>
        <v>0</v>
      </c>
      <c r="AD316" s="71">
        <f t="shared" ca="1" si="103"/>
        <v>0</v>
      </c>
      <c r="AE316" s="72">
        <f t="shared" si="104"/>
        <v>0</v>
      </c>
      <c r="AF316" s="73">
        <f>IF(A316&gt;入力設定!$B$6*12,0,IF(AND(ISNUMBER(C316),C316&gt;=0,C316&lt;=1),0,1))</f>
        <v>0</v>
      </c>
    </row>
    <row r="317" spans="1:32" ht="21" customHeight="1">
      <c r="A317" s="68">
        <f>312</f>
        <v>312</v>
      </c>
      <c r="B317" s="69">
        <f>EDATE(入力設定!$B$7,A317-1)</f>
        <v>55793</v>
      </c>
      <c r="C317" s="80">
        <f>INDEX(入力設定!$C$15:$C$24,INT((A317-1)/60)+1)</f>
        <v>0.05</v>
      </c>
      <c r="D317" s="70">
        <f t="shared" ca="1" si="105"/>
        <v>8516029.9491847586</v>
      </c>
      <c r="E317" s="70">
        <f t="shared" ca="1" si="106"/>
        <v>69</v>
      </c>
      <c r="F317" s="70">
        <f ca="1">IF(D317+Z317&lt;0.000001,0,IF(D317&lt;0.000001,F316,IF(OR(AE317=1,AND(K316&gt;0,入力設定!$B$8="返済額軽減型",入力設定!$B$11="翌月")),IF(C317=0,D317/MAX(1,E317),D317*(C317/12)/(1-(1+C317/12)^(-MAX(1,E317)))),F316)))</f>
        <v>142266.59803560199</v>
      </c>
      <c r="G317" s="70">
        <f t="shared" ca="1" si="88"/>
        <v>142266.59803560199</v>
      </c>
      <c r="H317" s="70">
        <f t="shared" ca="1" si="89"/>
        <v>35483.458121603158</v>
      </c>
      <c r="I317" s="70">
        <f t="shared" ca="1" si="90"/>
        <v>106783.13991399884</v>
      </c>
      <c r="J317" s="70">
        <f>SUMIFS(入力設定!$G$5:$G$24,入力設定!$F$5:$F$24,A317)</f>
        <v>0</v>
      </c>
      <c r="K317" s="70">
        <f t="shared" ca="1" si="91"/>
        <v>0</v>
      </c>
      <c r="L317" s="70">
        <f ca="1">IF(K317&gt;0,入力設定!$B$9,0)</f>
        <v>0</v>
      </c>
      <c r="M317" s="70">
        <f t="shared" ca="1" si="92"/>
        <v>8409246.80927076</v>
      </c>
      <c r="N317" s="70">
        <f ca="1">IF(M317+AA317&lt;0.000001,0,IF(AND(K317&gt;0,入力設定!$B$8="期間短縮型",AA317&lt;0.000001,F317&gt;M317*C317/12),MAX(1,MIN(E317-1,IF(C317=0,ROUNDUP(M317/F317,0),ROUNDUP(-LN(1-M317*(C317/12)/F317)/LN(1+C317/12),0)))),MAX(1,E317-1)))</f>
        <v>68</v>
      </c>
      <c r="O317" s="70">
        <f t="shared" ca="1" si="93"/>
        <v>142266.59803560199</v>
      </c>
      <c r="P317" s="70">
        <f t="shared" ca="1" si="107"/>
        <v>13139669.563276388</v>
      </c>
      <c r="Q317" s="70">
        <f ca="1">IF(OR(A317&gt;入力設定!$B$6*12,P317+AC317&lt;0.000001),0,IF(P317&lt;0.000001,Q316,IF(AE317=1,IF(C317=0,P317/MAX(1,入力設定!$B$6*12-A317+1),P317*(C317/12)/(1-(1+C317/12)^(-MAX(1,入力設定!$B$6*12-A317+1)))),Q316)))</f>
        <v>150233.43899513065</v>
      </c>
      <c r="R317" s="70">
        <f ca="1">IF(P317+AC317&lt;0.000001,0,IF(A317=入力設定!$B$6*12,P317+AB317+AC317,MIN(Q317,P317+AB317+AC317)))</f>
        <v>150233.43899513065</v>
      </c>
      <c r="S317" s="70">
        <f t="shared" ca="1" si="94"/>
        <v>54748.623180318282</v>
      </c>
      <c r="T317" s="70">
        <f t="shared" ca="1" si="95"/>
        <v>95484.815814812377</v>
      </c>
      <c r="U317" s="70">
        <f t="shared" ca="1" si="96"/>
        <v>13044184.747461576</v>
      </c>
      <c r="V317" s="70">
        <f t="shared" ca="1" si="97"/>
        <v>0</v>
      </c>
      <c r="W317" s="70">
        <f t="shared" ca="1" si="98"/>
        <v>0</v>
      </c>
      <c r="X317" s="70">
        <f t="shared" ca="1" si="99"/>
        <v>0</v>
      </c>
      <c r="Y317" s="71">
        <f t="shared" ca="1" si="100"/>
        <v>35483.458121603158</v>
      </c>
      <c r="Z317" s="71">
        <f t="shared" ca="1" si="108"/>
        <v>0</v>
      </c>
      <c r="AA317" s="71">
        <f t="shared" ca="1" si="101"/>
        <v>0</v>
      </c>
      <c r="AB317" s="71">
        <f t="shared" ca="1" si="102"/>
        <v>54748.623180318282</v>
      </c>
      <c r="AC317" s="71">
        <f t="shared" ca="1" si="109"/>
        <v>0</v>
      </c>
      <c r="AD317" s="71">
        <f t="shared" ca="1" si="103"/>
        <v>0</v>
      </c>
      <c r="AE317" s="72">
        <f t="shared" si="104"/>
        <v>0</v>
      </c>
      <c r="AF317" s="73">
        <f>IF(A317&gt;入力設定!$B$6*12,0,IF(AND(ISNUMBER(C317),C317&gt;=0,C317&lt;=1),0,1))</f>
        <v>0</v>
      </c>
    </row>
    <row r="318" spans="1:32" ht="21" customHeight="1">
      <c r="A318" s="68">
        <f>313</f>
        <v>313</v>
      </c>
      <c r="B318" s="69">
        <f>EDATE(入力設定!$B$7,A318-1)</f>
        <v>55824</v>
      </c>
      <c r="C318" s="80">
        <f>INDEX(入力設定!$C$15:$C$24,INT((A318-1)/60)+1)</f>
        <v>0.05</v>
      </c>
      <c r="D318" s="70">
        <f t="shared" ca="1" si="105"/>
        <v>8409246.80927076</v>
      </c>
      <c r="E318" s="70">
        <f t="shared" ca="1" si="106"/>
        <v>68</v>
      </c>
      <c r="F318" s="70">
        <f ca="1">IF(D318+Z318&lt;0.000001,0,IF(D318&lt;0.000001,F317,IF(OR(AE318=1,AND(K317&gt;0,入力設定!$B$8="返済額軽減型",入力設定!$B$11="翌月")),IF(C318=0,D318/MAX(1,E318),D318*(C318/12)/(1-(1+C318/12)^(-MAX(1,E318)))),F317)))</f>
        <v>142266.59803560199</v>
      </c>
      <c r="G318" s="70">
        <f t="shared" ca="1" si="88"/>
        <v>142266.59803560199</v>
      </c>
      <c r="H318" s="70">
        <f t="shared" ca="1" si="89"/>
        <v>35038.528371961504</v>
      </c>
      <c r="I318" s="70">
        <f t="shared" ca="1" si="90"/>
        <v>107228.06966364049</v>
      </c>
      <c r="J318" s="70">
        <f>SUMIFS(入力設定!$G$5:$G$24,入力設定!$F$5:$F$24,A318)</f>
        <v>0</v>
      </c>
      <c r="K318" s="70">
        <f t="shared" ca="1" si="91"/>
        <v>0</v>
      </c>
      <c r="L318" s="70">
        <f ca="1">IF(K318&gt;0,入力設定!$B$9,0)</f>
        <v>0</v>
      </c>
      <c r="M318" s="70">
        <f t="shared" ca="1" si="92"/>
        <v>8302018.7396071199</v>
      </c>
      <c r="N318" s="70">
        <f ca="1">IF(M318+AA318&lt;0.000001,0,IF(AND(K318&gt;0,入力設定!$B$8="期間短縮型",AA318&lt;0.000001,F318&gt;M318*C318/12),MAX(1,MIN(E318-1,IF(C318=0,ROUNDUP(M318/F318,0),ROUNDUP(-LN(1-M318*(C318/12)/F318)/LN(1+C318/12),0)))),MAX(1,E318-1)))</f>
        <v>67</v>
      </c>
      <c r="O318" s="70">
        <f t="shared" ca="1" si="93"/>
        <v>142266.59803560199</v>
      </c>
      <c r="P318" s="70">
        <f t="shared" ca="1" si="107"/>
        <v>13044184.747461576</v>
      </c>
      <c r="Q318" s="70">
        <f ca="1">IF(OR(A318&gt;入力設定!$B$6*12,P318+AC318&lt;0.000001),0,IF(P318&lt;0.000001,Q317,IF(AE318=1,IF(C318=0,P318/MAX(1,入力設定!$B$6*12-A318+1),P318*(C318/12)/(1-(1+C318/12)^(-MAX(1,入力設定!$B$6*12-A318+1)))),Q317)))</f>
        <v>150233.43899513065</v>
      </c>
      <c r="R318" s="70">
        <f ca="1">IF(P318+AC318&lt;0.000001,0,IF(A318=入力設定!$B$6*12,P318+AB318+AC318,MIN(Q318,P318+AB318+AC318)))</f>
        <v>150233.43899513065</v>
      </c>
      <c r="S318" s="70">
        <f t="shared" ca="1" si="94"/>
        <v>54350.769781089904</v>
      </c>
      <c r="T318" s="70">
        <f t="shared" ca="1" si="95"/>
        <v>95882.669214040739</v>
      </c>
      <c r="U318" s="70">
        <f t="shared" ca="1" si="96"/>
        <v>12948302.078247536</v>
      </c>
      <c r="V318" s="70">
        <f t="shared" ca="1" si="97"/>
        <v>0</v>
      </c>
      <c r="W318" s="70">
        <f t="shared" ca="1" si="98"/>
        <v>0</v>
      </c>
      <c r="X318" s="70">
        <f t="shared" ca="1" si="99"/>
        <v>0</v>
      </c>
      <c r="Y318" s="71">
        <f t="shared" ca="1" si="100"/>
        <v>35038.528371961504</v>
      </c>
      <c r="Z318" s="71">
        <f t="shared" ca="1" si="108"/>
        <v>0</v>
      </c>
      <c r="AA318" s="71">
        <f t="shared" ca="1" si="101"/>
        <v>0</v>
      </c>
      <c r="AB318" s="71">
        <f t="shared" ca="1" si="102"/>
        <v>54350.769781089904</v>
      </c>
      <c r="AC318" s="71">
        <f t="shared" ca="1" si="109"/>
        <v>0</v>
      </c>
      <c r="AD318" s="71">
        <f t="shared" ca="1" si="103"/>
        <v>0</v>
      </c>
      <c r="AE318" s="72">
        <f t="shared" si="104"/>
        <v>0</v>
      </c>
      <c r="AF318" s="73">
        <f>IF(A318&gt;入力設定!$B$6*12,0,IF(AND(ISNUMBER(C318),C318&gt;=0,C318&lt;=1),0,1))</f>
        <v>0</v>
      </c>
    </row>
    <row r="319" spans="1:32" ht="21" customHeight="1">
      <c r="A319" s="68">
        <f>314</f>
        <v>314</v>
      </c>
      <c r="B319" s="69">
        <f>EDATE(入力設定!$B$7,A319-1)</f>
        <v>55854</v>
      </c>
      <c r="C319" s="80">
        <f>INDEX(入力設定!$C$15:$C$24,INT((A319-1)/60)+1)</f>
        <v>0.05</v>
      </c>
      <c r="D319" s="70">
        <f t="shared" ca="1" si="105"/>
        <v>8302018.7396071199</v>
      </c>
      <c r="E319" s="70">
        <f t="shared" ca="1" si="106"/>
        <v>67</v>
      </c>
      <c r="F319" s="70">
        <f ca="1">IF(D319+Z319&lt;0.000001,0,IF(D319&lt;0.000001,F318,IF(OR(AE319=1,AND(K318&gt;0,入力設定!$B$8="返済額軽減型",入力設定!$B$11="翌月")),IF(C319=0,D319/MAX(1,E319),D319*(C319/12)/(1-(1+C319/12)^(-MAX(1,E319)))),F318)))</f>
        <v>142266.59803560199</v>
      </c>
      <c r="G319" s="70">
        <f t="shared" ca="1" si="88"/>
        <v>142266.59803560199</v>
      </c>
      <c r="H319" s="70">
        <f t="shared" ca="1" si="89"/>
        <v>34591.744748363002</v>
      </c>
      <c r="I319" s="70">
        <f t="shared" ca="1" si="90"/>
        <v>107674.85328723898</v>
      </c>
      <c r="J319" s="70">
        <f>SUMIFS(入力設定!$G$5:$G$24,入力設定!$F$5:$F$24,A319)</f>
        <v>0</v>
      </c>
      <c r="K319" s="70">
        <f t="shared" ca="1" si="91"/>
        <v>0</v>
      </c>
      <c r="L319" s="70">
        <f ca="1">IF(K319&gt;0,入力設定!$B$9,0)</f>
        <v>0</v>
      </c>
      <c r="M319" s="70">
        <f t="shared" ca="1" si="92"/>
        <v>8194343.8863198813</v>
      </c>
      <c r="N319" s="70">
        <f ca="1">IF(M319+AA319&lt;0.000001,0,IF(AND(K319&gt;0,入力設定!$B$8="期間短縮型",AA319&lt;0.000001,F319&gt;M319*C319/12),MAX(1,MIN(E319-1,IF(C319=0,ROUNDUP(M319/F319,0),ROUNDUP(-LN(1-M319*(C319/12)/F319)/LN(1+C319/12),0)))),MAX(1,E319-1)))</f>
        <v>66</v>
      </c>
      <c r="O319" s="70">
        <f t="shared" ca="1" si="93"/>
        <v>142266.59803560199</v>
      </c>
      <c r="P319" s="70">
        <f t="shared" ca="1" si="107"/>
        <v>12948302.078247536</v>
      </c>
      <c r="Q319" s="70">
        <f ca="1">IF(OR(A319&gt;入力設定!$B$6*12,P319+AC319&lt;0.000001),0,IF(P319&lt;0.000001,Q318,IF(AE319=1,IF(C319=0,P319/MAX(1,入力設定!$B$6*12-A319+1),P319*(C319/12)/(1-(1+C319/12)^(-MAX(1,入力設定!$B$6*12-A319+1)))),Q318)))</f>
        <v>150233.43899513065</v>
      </c>
      <c r="R319" s="70">
        <f ca="1">IF(P319+AC319&lt;0.000001,0,IF(A319=入力設定!$B$6*12,P319+AB319+AC319,MIN(Q319,P319+AB319+AC319)))</f>
        <v>150233.43899513065</v>
      </c>
      <c r="S319" s="70">
        <f t="shared" ca="1" si="94"/>
        <v>53951.258659364736</v>
      </c>
      <c r="T319" s="70">
        <f t="shared" ca="1" si="95"/>
        <v>96282.180335765908</v>
      </c>
      <c r="U319" s="70">
        <f t="shared" ca="1" si="96"/>
        <v>12852019.89791177</v>
      </c>
      <c r="V319" s="70">
        <f t="shared" ca="1" si="97"/>
        <v>0</v>
      </c>
      <c r="W319" s="70">
        <f t="shared" ca="1" si="98"/>
        <v>0</v>
      </c>
      <c r="X319" s="70">
        <f t="shared" ca="1" si="99"/>
        <v>0</v>
      </c>
      <c r="Y319" s="71">
        <f t="shared" ca="1" si="100"/>
        <v>34591.744748363002</v>
      </c>
      <c r="Z319" s="71">
        <f t="shared" ca="1" si="108"/>
        <v>0</v>
      </c>
      <c r="AA319" s="71">
        <f t="shared" ca="1" si="101"/>
        <v>0</v>
      </c>
      <c r="AB319" s="71">
        <f t="shared" ca="1" si="102"/>
        <v>53951.258659364736</v>
      </c>
      <c r="AC319" s="71">
        <f t="shared" ca="1" si="109"/>
        <v>0</v>
      </c>
      <c r="AD319" s="71">
        <f t="shared" ca="1" si="103"/>
        <v>0</v>
      </c>
      <c r="AE319" s="72">
        <f t="shared" si="104"/>
        <v>0</v>
      </c>
      <c r="AF319" s="73">
        <f>IF(A319&gt;入力設定!$B$6*12,0,IF(AND(ISNUMBER(C319),C319&gt;=0,C319&lt;=1),0,1))</f>
        <v>0</v>
      </c>
    </row>
    <row r="320" spans="1:32" ht="21" customHeight="1">
      <c r="A320" s="68">
        <f>315</f>
        <v>315</v>
      </c>
      <c r="B320" s="69">
        <f>EDATE(入力設定!$B$7,A320-1)</f>
        <v>55885</v>
      </c>
      <c r="C320" s="80">
        <f>INDEX(入力設定!$C$15:$C$24,INT((A320-1)/60)+1)</f>
        <v>0.05</v>
      </c>
      <c r="D320" s="70">
        <f t="shared" ca="1" si="105"/>
        <v>8194343.8863198813</v>
      </c>
      <c r="E320" s="70">
        <f t="shared" ca="1" si="106"/>
        <v>66</v>
      </c>
      <c r="F320" s="70">
        <f ca="1">IF(D320+Z320&lt;0.000001,0,IF(D320&lt;0.000001,F319,IF(OR(AE320=1,AND(K319&gt;0,入力設定!$B$8="返済額軽減型",入力設定!$B$11="翌月")),IF(C320=0,D320/MAX(1,E320),D320*(C320/12)/(1-(1+C320/12)^(-MAX(1,E320)))),F319)))</f>
        <v>142266.59803560199</v>
      </c>
      <c r="G320" s="70">
        <f t="shared" ca="1" si="88"/>
        <v>142266.59803560199</v>
      </c>
      <c r="H320" s="70">
        <f t="shared" ca="1" si="89"/>
        <v>34143.099526332844</v>
      </c>
      <c r="I320" s="70">
        <f t="shared" ca="1" si="90"/>
        <v>108123.49850926915</v>
      </c>
      <c r="J320" s="70">
        <f>SUMIFS(入力設定!$G$5:$G$24,入力設定!$F$5:$F$24,A320)</f>
        <v>0</v>
      </c>
      <c r="K320" s="70">
        <f t="shared" ca="1" si="91"/>
        <v>0</v>
      </c>
      <c r="L320" s="70">
        <f ca="1">IF(K320&gt;0,入力設定!$B$9,0)</f>
        <v>0</v>
      </c>
      <c r="M320" s="70">
        <f t="shared" ca="1" si="92"/>
        <v>8086220.3878106121</v>
      </c>
      <c r="N320" s="70">
        <f ca="1">IF(M320+AA320&lt;0.000001,0,IF(AND(K320&gt;0,入力設定!$B$8="期間短縮型",AA320&lt;0.000001,F320&gt;M320*C320/12),MAX(1,MIN(E320-1,IF(C320=0,ROUNDUP(M320/F320,0),ROUNDUP(-LN(1-M320*(C320/12)/F320)/LN(1+C320/12),0)))),MAX(1,E320-1)))</f>
        <v>65</v>
      </c>
      <c r="O320" s="70">
        <f t="shared" ca="1" si="93"/>
        <v>142266.59803560199</v>
      </c>
      <c r="P320" s="70">
        <f t="shared" ca="1" si="107"/>
        <v>12852019.89791177</v>
      </c>
      <c r="Q320" s="70">
        <f ca="1">IF(OR(A320&gt;入力設定!$B$6*12,P320+AC320&lt;0.000001),0,IF(P320&lt;0.000001,Q319,IF(AE320=1,IF(C320=0,P320/MAX(1,入力設定!$B$6*12-A320+1),P320*(C320/12)/(1-(1+C320/12)^(-MAX(1,入力設定!$B$6*12-A320+1)))),Q319)))</f>
        <v>150233.43899513065</v>
      </c>
      <c r="R320" s="70">
        <f ca="1">IF(P320+AC320&lt;0.000001,0,IF(A320=入力設定!$B$6*12,P320+AB320+AC320,MIN(Q320,P320+AB320+AC320)))</f>
        <v>150233.43899513065</v>
      </c>
      <c r="S320" s="70">
        <f t="shared" ca="1" si="94"/>
        <v>53550.08290796572</v>
      </c>
      <c r="T320" s="70">
        <f t="shared" ca="1" si="95"/>
        <v>96683.356087164924</v>
      </c>
      <c r="U320" s="70">
        <f t="shared" ca="1" si="96"/>
        <v>12755336.541824605</v>
      </c>
      <c r="V320" s="70">
        <f t="shared" ca="1" si="97"/>
        <v>0</v>
      </c>
      <c r="W320" s="70">
        <f t="shared" ca="1" si="98"/>
        <v>0</v>
      </c>
      <c r="X320" s="70">
        <f t="shared" ca="1" si="99"/>
        <v>0</v>
      </c>
      <c r="Y320" s="71">
        <f t="shared" ca="1" si="100"/>
        <v>34143.099526332844</v>
      </c>
      <c r="Z320" s="71">
        <f t="shared" ca="1" si="108"/>
        <v>0</v>
      </c>
      <c r="AA320" s="71">
        <f t="shared" ca="1" si="101"/>
        <v>0</v>
      </c>
      <c r="AB320" s="71">
        <f t="shared" ca="1" si="102"/>
        <v>53550.08290796572</v>
      </c>
      <c r="AC320" s="71">
        <f t="shared" ca="1" si="109"/>
        <v>0</v>
      </c>
      <c r="AD320" s="71">
        <f t="shared" ca="1" si="103"/>
        <v>0</v>
      </c>
      <c r="AE320" s="72">
        <f t="shared" si="104"/>
        <v>0</v>
      </c>
      <c r="AF320" s="73">
        <f>IF(A320&gt;入力設定!$B$6*12,0,IF(AND(ISNUMBER(C320),C320&gt;=0,C320&lt;=1),0,1))</f>
        <v>0</v>
      </c>
    </row>
    <row r="321" spans="1:32" ht="21" customHeight="1">
      <c r="A321" s="68">
        <f>316</f>
        <v>316</v>
      </c>
      <c r="B321" s="69">
        <f>EDATE(入力設定!$B$7,A321-1)</f>
        <v>55916</v>
      </c>
      <c r="C321" s="80">
        <f>INDEX(入力設定!$C$15:$C$24,INT((A321-1)/60)+1)</f>
        <v>0.05</v>
      </c>
      <c r="D321" s="70">
        <f t="shared" ca="1" si="105"/>
        <v>8086220.3878106121</v>
      </c>
      <c r="E321" s="70">
        <f t="shared" ca="1" si="106"/>
        <v>65</v>
      </c>
      <c r="F321" s="70">
        <f ca="1">IF(D321+Z321&lt;0.000001,0,IF(D321&lt;0.000001,F320,IF(OR(AE321=1,AND(K320&gt;0,入力設定!$B$8="返済額軽減型",入力設定!$B$11="翌月")),IF(C321=0,D321/MAX(1,E321),D321*(C321/12)/(1-(1+C321/12)^(-MAX(1,E321)))),F320)))</f>
        <v>142266.59803560199</v>
      </c>
      <c r="G321" s="70">
        <f t="shared" ca="1" si="88"/>
        <v>142266.59803560199</v>
      </c>
      <c r="H321" s="70">
        <f t="shared" ca="1" si="89"/>
        <v>33692.58494921089</v>
      </c>
      <c r="I321" s="70">
        <f t="shared" ca="1" si="90"/>
        <v>108574.01308639109</v>
      </c>
      <c r="J321" s="70">
        <f>SUMIFS(入力設定!$G$5:$G$24,入力設定!$F$5:$F$24,A321)</f>
        <v>0</v>
      </c>
      <c r="K321" s="70">
        <f t="shared" ca="1" si="91"/>
        <v>0</v>
      </c>
      <c r="L321" s="70">
        <f ca="1">IF(K321&gt;0,入力設定!$B$9,0)</f>
        <v>0</v>
      </c>
      <c r="M321" s="70">
        <f t="shared" ca="1" si="92"/>
        <v>7977646.3747242214</v>
      </c>
      <c r="N321" s="70">
        <f ca="1">IF(M321+AA321&lt;0.000001,0,IF(AND(K321&gt;0,入力設定!$B$8="期間短縮型",AA321&lt;0.000001,F321&gt;M321*C321/12),MAX(1,MIN(E321-1,IF(C321=0,ROUNDUP(M321/F321,0),ROUNDUP(-LN(1-M321*(C321/12)/F321)/LN(1+C321/12),0)))),MAX(1,E321-1)))</f>
        <v>64</v>
      </c>
      <c r="O321" s="70">
        <f t="shared" ca="1" si="93"/>
        <v>142266.59803560199</v>
      </c>
      <c r="P321" s="70">
        <f t="shared" ca="1" si="107"/>
        <v>12755336.541824605</v>
      </c>
      <c r="Q321" s="70">
        <f ca="1">IF(OR(A321&gt;入力設定!$B$6*12,P321+AC321&lt;0.000001),0,IF(P321&lt;0.000001,Q320,IF(AE321=1,IF(C321=0,P321/MAX(1,入力設定!$B$6*12-A321+1),P321*(C321/12)/(1-(1+C321/12)^(-MAX(1,入力設定!$B$6*12-A321+1)))),Q320)))</f>
        <v>150233.43899513065</v>
      </c>
      <c r="R321" s="70">
        <f ca="1">IF(P321+AC321&lt;0.000001,0,IF(A321=入力設定!$B$6*12,P321+AB321+AC321,MIN(Q321,P321+AB321+AC321)))</f>
        <v>150233.43899513065</v>
      </c>
      <c r="S321" s="70">
        <f t="shared" ca="1" si="94"/>
        <v>53147.235590935859</v>
      </c>
      <c r="T321" s="70">
        <f t="shared" ca="1" si="95"/>
        <v>97086.203404194792</v>
      </c>
      <c r="U321" s="70">
        <f t="shared" ca="1" si="96"/>
        <v>12658250.33842041</v>
      </c>
      <c r="V321" s="70">
        <f t="shared" ca="1" si="97"/>
        <v>0</v>
      </c>
      <c r="W321" s="70">
        <f t="shared" ca="1" si="98"/>
        <v>0</v>
      </c>
      <c r="X321" s="70">
        <f t="shared" ca="1" si="99"/>
        <v>0</v>
      </c>
      <c r="Y321" s="71">
        <f t="shared" ca="1" si="100"/>
        <v>33692.58494921089</v>
      </c>
      <c r="Z321" s="71">
        <f t="shared" ca="1" si="108"/>
        <v>0</v>
      </c>
      <c r="AA321" s="71">
        <f t="shared" ca="1" si="101"/>
        <v>0</v>
      </c>
      <c r="AB321" s="71">
        <f t="shared" ca="1" si="102"/>
        <v>53147.235590935859</v>
      </c>
      <c r="AC321" s="71">
        <f t="shared" ca="1" si="109"/>
        <v>0</v>
      </c>
      <c r="AD321" s="71">
        <f t="shared" ca="1" si="103"/>
        <v>0</v>
      </c>
      <c r="AE321" s="72">
        <f t="shared" si="104"/>
        <v>0</v>
      </c>
      <c r="AF321" s="73">
        <f>IF(A321&gt;入力設定!$B$6*12,0,IF(AND(ISNUMBER(C321),C321&gt;=0,C321&lt;=1),0,1))</f>
        <v>0</v>
      </c>
    </row>
    <row r="322" spans="1:32" ht="21" customHeight="1">
      <c r="A322" s="68">
        <f>317</f>
        <v>317</v>
      </c>
      <c r="B322" s="69">
        <f>EDATE(入力設定!$B$7,A322-1)</f>
        <v>55944</v>
      </c>
      <c r="C322" s="80">
        <f>INDEX(入力設定!$C$15:$C$24,INT((A322-1)/60)+1)</f>
        <v>0.05</v>
      </c>
      <c r="D322" s="70">
        <f t="shared" ca="1" si="105"/>
        <v>7977646.3747242214</v>
      </c>
      <c r="E322" s="70">
        <f t="shared" ca="1" si="106"/>
        <v>64</v>
      </c>
      <c r="F322" s="70">
        <f ca="1">IF(D322+Z322&lt;0.000001,0,IF(D322&lt;0.000001,F321,IF(OR(AE322=1,AND(K321&gt;0,入力設定!$B$8="返済額軽減型",入力設定!$B$11="翌月")),IF(C322=0,D322/MAX(1,E322),D322*(C322/12)/(1-(1+C322/12)^(-MAX(1,E322)))),F321)))</f>
        <v>142266.59803560199</v>
      </c>
      <c r="G322" s="70">
        <f t="shared" ca="1" si="88"/>
        <v>142266.59803560199</v>
      </c>
      <c r="H322" s="70">
        <f t="shared" ca="1" si="89"/>
        <v>33240.19322801759</v>
      </c>
      <c r="I322" s="70">
        <f t="shared" ca="1" si="90"/>
        <v>109026.40480758439</v>
      </c>
      <c r="J322" s="70">
        <f>SUMIFS(入力設定!$G$5:$G$24,入力設定!$F$5:$F$24,A322)</f>
        <v>0</v>
      </c>
      <c r="K322" s="70">
        <f t="shared" ca="1" si="91"/>
        <v>0</v>
      </c>
      <c r="L322" s="70">
        <f ca="1">IF(K322&gt;0,入力設定!$B$9,0)</f>
        <v>0</v>
      </c>
      <c r="M322" s="70">
        <f t="shared" ca="1" si="92"/>
        <v>7868619.9699166371</v>
      </c>
      <c r="N322" s="70">
        <f ca="1">IF(M322+AA322&lt;0.000001,0,IF(AND(K322&gt;0,入力設定!$B$8="期間短縮型",AA322&lt;0.000001,F322&gt;M322*C322/12),MAX(1,MIN(E322-1,IF(C322=0,ROUNDUP(M322/F322,0),ROUNDUP(-LN(1-M322*(C322/12)/F322)/LN(1+C322/12),0)))),MAX(1,E322-1)))</f>
        <v>63</v>
      </c>
      <c r="O322" s="70">
        <f t="shared" ca="1" si="93"/>
        <v>142266.59803560199</v>
      </c>
      <c r="P322" s="70">
        <f t="shared" ca="1" si="107"/>
        <v>12658250.33842041</v>
      </c>
      <c r="Q322" s="70">
        <f ca="1">IF(OR(A322&gt;入力設定!$B$6*12,P322+AC322&lt;0.000001),0,IF(P322&lt;0.000001,Q321,IF(AE322=1,IF(C322=0,P322/MAX(1,入力設定!$B$6*12-A322+1),P322*(C322/12)/(1-(1+C322/12)^(-MAX(1,入力設定!$B$6*12-A322+1)))),Q321)))</f>
        <v>150233.43899513065</v>
      </c>
      <c r="R322" s="70">
        <f ca="1">IF(P322+AC322&lt;0.000001,0,IF(A322=入力設定!$B$6*12,P322+AB322+AC322,MIN(Q322,P322+AB322+AC322)))</f>
        <v>150233.43899513065</v>
      </c>
      <c r="S322" s="70">
        <f t="shared" ca="1" si="94"/>
        <v>52742.709743418382</v>
      </c>
      <c r="T322" s="70">
        <f t="shared" ca="1" si="95"/>
        <v>97490.72925171227</v>
      </c>
      <c r="U322" s="70">
        <f t="shared" ca="1" si="96"/>
        <v>12560759.609168697</v>
      </c>
      <c r="V322" s="70">
        <f t="shared" ca="1" si="97"/>
        <v>0</v>
      </c>
      <c r="W322" s="70">
        <f t="shared" ca="1" si="98"/>
        <v>0</v>
      </c>
      <c r="X322" s="70">
        <f t="shared" ca="1" si="99"/>
        <v>0</v>
      </c>
      <c r="Y322" s="71">
        <f t="shared" ca="1" si="100"/>
        <v>33240.19322801759</v>
      </c>
      <c r="Z322" s="71">
        <f t="shared" ca="1" si="108"/>
        <v>0</v>
      </c>
      <c r="AA322" s="71">
        <f t="shared" ca="1" si="101"/>
        <v>0</v>
      </c>
      <c r="AB322" s="71">
        <f t="shared" ca="1" si="102"/>
        <v>52742.709743418382</v>
      </c>
      <c r="AC322" s="71">
        <f t="shared" ca="1" si="109"/>
        <v>0</v>
      </c>
      <c r="AD322" s="71">
        <f t="shared" ca="1" si="103"/>
        <v>0</v>
      </c>
      <c r="AE322" s="72">
        <f t="shared" si="104"/>
        <v>0</v>
      </c>
      <c r="AF322" s="73">
        <f>IF(A322&gt;入力設定!$B$6*12,0,IF(AND(ISNUMBER(C322),C322&gt;=0,C322&lt;=1),0,1))</f>
        <v>0</v>
      </c>
    </row>
    <row r="323" spans="1:32" ht="21" customHeight="1">
      <c r="A323" s="68">
        <f>318</f>
        <v>318</v>
      </c>
      <c r="B323" s="69">
        <f>EDATE(入力設定!$B$7,A323-1)</f>
        <v>55975</v>
      </c>
      <c r="C323" s="80">
        <f>INDEX(入力設定!$C$15:$C$24,INT((A323-1)/60)+1)</f>
        <v>0.05</v>
      </c>
      <c r="D323" s="70">
        <f t="shared" ca="1" si="105"/>
        <v>7868619.9699166371</v>
      </c>
      <c r="E323" s="70">
        <f t="shared" ca="1" si="106"/>
        <v>63</v>
      </c>
      <c r="F323" s="70">
        <f ca="1">IF(D323+Z323&lt;0.000001,0,IF(D323&lt;0.000001,F322,IF(OR(AE323=1,AND(K322&gt;0,入力設定!$B$8="返済額軽減型",入力設定!$B$11="翌月")),IF(C323=0,D323/MAX(1,E323),D323*(C323/12)/(1-(1+C323/12)^(-MAX(1,E323)))),F322)))</f>
        <v>142266.59803560199</v>
      </c>
      <c r="G323" s="70">
        <f t="shared" ca="1" si="88"/>
        <v>142266.59803560199</v>
      </c>
      <c r="H323" s="70">
        <f t="shared" ca="1" si="89"/>
        <v>32785.916541319319</v>
      </c>
      <c r="I323" s="70">
        <f t="shared" ca="1" si="90"/>
        <v>109480.68149428267</v>
      </c>
      <c r="J323" s="70">
        <f>SUMIFS(入力設定!$G$5:$G$24,入力設定!$F$5:$F$24,A323)</f>
        <v>0</v>
      </c>
      <c r="K323" s="70">
        <f t="shared" ca="1" si="91"/>
        <v>0</v>
      </c>
      <c r="L323" s="70">
        <f ca="1">IF(K323&gt;0,入力設定!$B$9,0)</f>
        <v>0</v>
      </c>
      <c r="M323" s="70">
        <f t="shared" ca="1" si="92"/>
        <v>7759139.2884223545</v>
      </c>
      <c r="N323" s="70">
        <f ca="1">IF(M323+AA323&lt;0.000001,0,IF(AND(K323&gt;0,入力設定!$B$8="期間短縮型",AA323&lt;0.000001,F323&gt;M323*C323/12),MAX(1,MIN(E323-1,IF(C323=0,ROUNDUP(M323/F323,0),ROUNDUP(-LN(1-M323*(C323/12)/F323)/LN(1+C323/12),0)))),MAX(1,E323-1)))</f>
        <v>62</v>
      </c>
      <c r="O323" s="70">
        <f t="shared" ca="1" si="93"/>
        <v>142266.59803560199</v>
      </c>
      <c r="P323" s="70">
        <f t="shared" ca="1" si="107"/>
        <v>12560759.609168697</v>
      </c>
      <c r="Q323" s="70">
        <f ca="1">IF(OR(A323&gt;入力設定!$B$6*12,P323+AC323&lt;0.000001),0,IF(P323&lt;0.000001,Q322,IF(AE323=1,IF(C323=0,P323/MAX(1,入力設定!$B$6*12-A323+1),P323*(C323/12)/(1-(1+C323/12)^(-MAX(1,入力設定!$B$6*12-A323+1)))),Q322)))</f>
        <v>150233.43899513065</v>
      </c>
      <c r="R323" s="70">
        <f ca="1">IF(P323+AC323&lt;0.000001,0,IF(A323=入力設定!$B$6*12,P323+AB323+AC323,MIN(Q323,P323+AB323+AC323)))</f>
        <v>150233.43899513065</v>
      </c>
      <c r="S323" s="70">
        <f t="shared" ca="1" si="94"/>
        <v>52336.49837153624</v>
      </c>
      <c r="T323" s="70">
        <f t="shared" ca="1" si="95"/>
        <v>97896.940623594419</v>
      </c>
      <c r="U323" s="70">
        <f t="shared" ca="1" si="96"/>
        <v>12462862.668545103</v>
      </c>
      <c r="V323" s="70">
        <f t="shared" ca="1" si="97"/>
        <v>0</v>
      </c>
      <c r="W323" s="70">
        <f t="shared" ca="1" si="98"/>
        <v>0</v>
      </c>
      <c r="X323" s="70">
        <f t="shared" ca="1" si="99"/>
        <v>0</v>
      </c>
      <c r="Y323" s="71">
        <f t="shared" ca="1" si="100"/>
        <v>32785.916541319319</v>
      </c>
      <c r="Z323" s="71">
        <f t="shared" ca="1" si="108"/>
        <v>0</v>
      </c>
      <c r="AA323" s="71">
        <f t="shared" ca="1" si="101"/>
        <v>0</v>
      </c>
      <c r="AB323" s="71">
        <f t="shared" ca="1" si="102"/>
        <v>52336.49837153624</v>
      </c>
      <c r="AC323" s="71">
        <f t="shared" ca="1" si="109"/>
        <v>0</v>
      </c>
      <c r="AD323" s="71">
        <f t="shared" ca="1" si="103"/>
        <v>0</v>
      </c>
      <c r="AE323" s="72">
        <f t="shared" si="104"/>
        <v>0</v>
      </c>
      <c r="AF323" s="73">
        <f>IF(A323&gt;入力設定!$B$6*12,0,IF(AND(ISNUMBER(C323),C323&gt;=0,C323&lt;=1),0,1))</f>
        <v>0</v>
      </c>
    </row>
    <row r="324" spans="1:32" ht="21" customHeight="1">
      <c r="A324" s="68">
        <f>319</f>
        <v>319</v>
      </c>
      <c r="B324" s="69">
        <f>EDATE(入力設定!$B$7,A324-1)</f>
        <v>56005</v>
      </c>
      <c r="C324" s="80">
        <f>INDEX(入力設定!$C$15:$C$24,INT((A324-1)/60)+1)</f>
        <v>0.05</v>
      </c>
      <c r="D324" s="70">
        <f t="shared" ca="1" si="105"/>
        <v>7759139.2884223545</v>
      </c>
      <c r="E324" s="70">
        <f t="shared" ca="1" si="106"/>
        <v>62</v>
      </c>
      <c r="F324" s="70">
        <f ca="1">IF(D324+Z324&lt;0.000001,0,IF(D324&lt;0.000001,F323,IF(OR(AE324=1,AND(K323&gt;0,入力設定!$B$8="返済額軽減型",入力設定!$B$11="翌月")),IF(C324=0,D324/MAX(1,E324),D324*(C324/12)/(1-(1+C324/12)^(-MAX(1,E324)))),F323)))</f>
        <v>142266.59803560199</v>
      </c>
      <c r="G324" s="70">
        <f t="shared" ca="1" si="88"/>
        <v>142266.59803560199</v>
      </c>
      <c r="H324" s="70">
        <f t="shared" ca="1" si="89"/>
        <v>32329.747035093143</v>
      </c>
      <c r="I324" s="70">
        <f t="shared" ca="1" si="90"/>
        <v>109936.85100050885</v>
      </c>
      <c r="J324" s="70">
        <f>SUMIFS(入力設定!$G$5:$G$24,入力設定!$F$5:$F$24,A324)</f>
        <v>0</v>
      </c>
      <c r="K324" s="70">
        <f t="shared" ca="1" si="91"/>
        <v>0</v>
      </c>
      <c r="L324" s="70">
        <f ca="1">IF(K324&gt;0,入力設定!$B$9,0)</f>
        <v>0</v>
      </c>
      <c r="M324" s="70">
        <f t="shared" ca="1" si="92"/>
        <v>7649202.4374218453</v>
      </c>
      <c r="N324" s="70">
        <f ca="1">IF(M324+AA324&lt;0.000001,0,IF(AND(K324&gt;0,入力設定!$B$8="期間短縮型",AA324&lt;0.000001,F324&gt;M324*C324/12),MAX(1,MIN(E324-1,IF(C324=0,ROUNDUP(M324/F324,0),ROUNDUP(-LN(1-M324*(C324/12)/F324)/LN(1+C324/12),0)))),MAX(1,E324-1)))</f>
        <v>61</v>
      </c>
      <c r="O324" s="70">
        <f t="shared" ca="1" si="93"/>
        <v>142266.59803560199</v>
      </c>
      <c r="P324" s="70">
        <f t="shared" ca="1" si="107"/>
        <v>12462862.668545103</v>
      </c>
      <c r="Q324" s="70">
        <f ca="1">IF(OR(A324&gt;入力設定!$B$6*12,P324+AC324&lt;0.000001),0,IF(P324&lt;0.000001,Q323,IF(AE324=1,IF(C324=0,P324/MAX(1,入力設定!$B$6*12-A324+1),P324*(C324/12)/(1-(1+C324/12)^(-MAX(1,入力設定!$B$6*12-A324+1)))),Q323)))</f>
        <v>150233.43899513065</v>
      </c>
      <c r="R324" s="70">
        <f ca="1">IF(P324+AC324&lt;0.000001,0,IF(A324=入力設定!$B$6*12,P324+AB324+AC324,MIN(Q324,P324+AB324+AC324)))</f>
        <v>150233.43899513065</v>
      </c>
      <c r="S324" s="70">
        <f t="shared" ca="1" si="94"/>
        <v>51928.594452271267</v>
      </c>
      <c r="T324" s="70">
        <f t="shared" ca="1" si="95"/>
        <v>98304.844542859384</v>
      </c>
      <c r="U324" s="70">
        <f t="shared" ca="1" si="96"/>
        <v>12364557.824002244</v>
      </c>
      <c r="V324" s="70">
        <f t="shared" ca="1" si="97"/>
        <v>0</v>
      </c>
      <c r="W324" s="70">
        <f t="shared" ca="1" si="98"/>
        <v>0</v>
      </c>
      <c r="X324" s="70">
        <f t="shared" ca="1" si="99"/>
        <v>0</v>
      </c>
      <c r="Y324" s="71">
        <f t="shared" ca="1" si="100"/>
        <v>32329.747035093143</v>
      </c>
      <c r="Z324" s="71">
        <f t="shared" ca="1" si="108"/>
        <v>0</v>
      </c>
      <c r="AA324" s="71">
        <f t="shared" ca="1" si="101"/>
        <v>0</v>
      </c>
      <c r="AB324" s="71">
        <f t="shared" ca="1" si="102"/>
        <v>51928.594452271267</v>
      </c>
      <c r="AC324" s="71">
        <f t="shared" ca="1" si="109"/>
        <v>0</v>
      </c>
      <c r="AD324" s="71">
        <f t="shared" ca="1" si="103"/>
        <v>0</v>
      </c>
      <c r="AE324" s="72">
        <f t="shared" si="104"/>
        <v>0</v>
      </c>
      <c r="AF324" s="73">
        <f>IF(A324&gt;入力設定!$B$6*12,0,IF(AND(ISNUMBER(C324),C324&gt;=0,C324&lt;=1),0,1))</f>
        <v>0</v>
      </c>
    </row>
    <row r="325" spans="1:32" ht="21" customHeight="1">
      <c r="A325" s="68">
        <f>320</f>
        <v>320</v>
      </c>
      <c r="B325" s="69">
        <f>EDATE(入力設定!$B$7,A325-1)</f>
        <v>56036</v>
      </c>
      <c r="C325" s="80">
        <f>INDEX(入力設定!$C$15:$C$24,INT((A325-1)/60)+1)</f>
        <v>0.05</v>
      </c>
      <c r="D325" s="70">
        <f t="shared" ca="1" si="105"/>
        <v>7649202.4374218453</v>
      </c>
      <c r="E325" s="70">
        <f t="shared" ca="1" si="106"/>
        <v>61</v>
      </c>
      <c r="F325" s="70">
        <f ca="1">IF(D325+Z325&lt;0.000001,0,IF(D325&lt;0.000001,F324,IF(OR(AE325=1,AND(K324&gt;0,入力設定!$B$8="返済額軽減型",入力設定!$B$11="翌月")),IF(C325=0,D325/MAX(1,E325),D325*(C325/12)/(1-(1+C325/12)^(-MAX(1,E325)))),F324)))</f>
        <v>142266.59803560199</v>
      </c>
      <c r="G325" s="70">
        <f t="shared" ca="1" si="88"/>
        <v>142266.59803560199</v>
      </c>
      <c r="H325" s="70">
        <f t="shared" ca="1" si="89"/>
        <v>31871.676822591024</v>
      </c>
      <c r="I325" s="70">
        <f t="shared" ca="1" si="90"/>
        <v>110394.92121301097</v>
      </c>
      <c r="J325" s="70">
        <f>SUMIFS(入力設定!$G$5:$G$24,入力設定!$F$5:$F$24,A325)</f>
        <v>0</v>
      </c>
      <c r="K325" s="70">
        <f t="shared" ca="1" si="91"/>
        <v>0</v>
      </c>
      <c r="L325" s="70">
        <f ca="1">IF(K325&gt;0,入力設定!$B$9,0)</f>
        <v>0</v>
      </c>
      <c r="M325" s="70">
        <f t="shared" ca="1" si="92"/>
        <v>7538807.516208834</v>
      </c>
      <c r="N325" s="70">
        <f ca="1">IF(M325+AA325&lt;0.000001,0,IF(AND(K325&gt;0,入力設定!$B$8="期間短縮型",AA325&lt;0.000001,F325&gt;M325*C325/12),MAX(1,MIN(E325-1,IF(C325=0,ROUNDUP(M325/F325,0),ROUNDUP(-LN(1-M325*(C325/12)/F325)/LN(1+C325/12),0)))),MAX(1,E325-1)))</f>
        <v>60</v>
      </c>
      <c r="O325" s="70">
        <f t="shared" ca="1" si="93"/>
        <v>142266.59803560199</v>
      </c>
      <c r="P325" s="70">
        <f t="shared" ca="1" si="107"/>
        <v>12364557.824002244</v>
      </c>
      <c r="Q325" s="70">
        <f ca="1">IF(OR(A325&gt;入力設定!$B$6*12,P325+AC325&lt;0.000001),0,IF(P325&lt;0.000001,Q324,IF(AE325=1,IF(C325=0,P325/MAX(1,入力設定!$B$6*12-A325+1),P325*(C325/12)/(1-(1+C325/12)^(-MAX(1,入力設定!$B$6*12-A325+1)))),Q324)))</f>
        <v>150233.43899513065</v>
      </c>
      <c r="R325" s="70">
        <f ca="1">IF(P325+AC325&lt;0.000001,0,IF(A325=入力設定!$B$6*12,P325+AB325+AC325,MIN(Q325,P325+AB325+AC325)))</f>
        <v>150233.43899513065</v>
      </c>
      <c r="S325" s="70">
        <f t="shared" ca="1" si="94"/>
        <v>51518.990933342684</v>
      </c>
      <c r="T325" s="70">
        <f t="shared" ca="1" si="95"/>
        <v>98714.44806178796</v>
      </c>
      <c r="U325" s="70">
        <f t="shared" ca="1" si="96"/>
        <v>12265843.375940455</v>
      </c>
      <c r="V325" s="70">
        <f t="shared" ca="1" si="97"/>
        <v>0</v>
      </c>
      <c r="W325" s="70">
        <f t="shared" ca="1" si="98"/>
        <v>0</v>
      </c>
      <c r="X325" s="70">
        <f t="shared" ca="1" si="99"/>
        <v>0</v>
      </c>
      <c r="Y325" s="71">
        <f t="shared" ca="1" si="100"/>
        <v>31871.676822591024</v>
      </c>
      <c r="Z325" s="71">
        <f t="shared" ca="1" si="108"/>
        <v>0</v>
      </c>
      <c r="AA325" s="71">
        <f t="shared" ca="1" si="101"/>
        <v>0</v>
      </c>
      <c r="AB325" s="71">
        <f t="shared" ca="1" si="102"/>
        <v>51518.990933342684</v>
      </c>
      <c r="AC325" s="71">
        <f t="shared" ca="1" si="109"/>
        <v>0</v>
      </c>
      <c r="AD325" s="71">
        <f t="shared" ca="1" si="103"/>
        <v>0</v>
      </c>
      <c r="AE325" s="72">
        <f t="shared" si="104"/>
        <v>0</v>
      </c>
      <c r="AF325" s="73">
        <f>IF(A325&gt;入力設定!$B$6*12,0,IF(AND(ISNUMBER(C325),C325&gt;=0,C325&lt;=1),0,1))</f>
        <v>0</v>
      </c>
    </row>
    <row r="326" spans="1:32" ht="21" customHeight="1">
      <c r="A326" s="68">
        <f>321</f>
        <v>321</v>
      </c>
      <c r="B326" s="69">
        <f>EDATE(入力設定!$B$7,A326-1)</f>
        <v>56066</v>
      </c>
      <c r="C326" s="80">
        <f>INDEX(入力設定!$C$15:$C$24,INT((A326-1)/60)+1)</f>
        <v>0.05</v>
      </c>
      <c r="D326" s="70">
        <f t="shared" ca="1" si="105"/>
        <v>7538807.516208834</v>
      </c>
      <c r="E326" s="70">
        <f t="shared" ca="1" si="106"/>
        <v>60</v>
      </c>
      <c r="F326" s="70">
        <f ca="1">IF(D326+Z326&lt;0.000001,0,IF(D326&lt;0.000001,F325,IF(OR(AE326=1,AND(K325&gt;0,入力設定!$B$8="返済額軽減型",入力設定!$B$11="翌月")),IF(C326=0,D326/MAX(1,E326),D326*(C326/12)/(1-(1+C326/12)^(-MAX(1,E326)))),F325)))</f>
        <v>142266.59803560199</v>
      </c>
      <c r="G326" s="70">
        <f t="shared" ref="G326:G389" ca="1" si="110">IF(D326+Z326&lt;0.000001,0,IF(E326&lt;=1,D326+Y326+Z326,MIN(D326+Y326+Z326,F326)))</f>
        <v>142266.59803560199</v>
      </c>
      <c r="H326" s="70">
        <f t="shared" ref="H326:H389" ca="1" si="111">MIN(G326,Y326+Z326)</f>
        <v>31411.697984203478</v>
      </c>
      <c r="I326" s="70">
        <f t="shared" ref="I326:I389" ca="1" si="112">G326-H326</f>
        <v>110854.90005139851</v>
      </c>
      <c r="J326" s="70">
        <f>SUMIFS(入力設定!$G$5:$G$24,入力設定!$F$5:$F$24,A326)</f>
        <v>0</v>
      </c>
      <c r="K326" s="70">
        <f t="shared" ref="K326:K389" ca="1" si="113">MIN(MAX(0,D326-I326),J326)</f>
        <v>0</v>
      </c>
      <c r="L326" s="70">
        <f ca="1">IF(K326&gt;0,入力設定!$B$9,0)</f>
        <v>0</v>
      </c>
      <c r="M326" s="70">
        <f t="shared" ref="M326:M389" ca="1" si="114">MAX(0,D326-I326-K326)</f>
        <v>7427952.6161574358</v>
      </c>
      <c r="N326" s="70">
        <f ca="1">IF(M326+AA326&lt;0.000001,0,IF(AND(K326&gt;0,入力設定!$B$8="期間短縮型",AA326&lt;0.000001,F326&gt;M326*C326/12),MAX(1,MIN(E326-1,IF(C326=0,ROUNDUP(M326/F326,0),ROUNDUP(-LN(1-M326*(C326/12)/F326)/LN(1+C326/12),0)))),MAX(1,E326-1)))</f>
        <v>59</v>
      </c>
      <c r="O326" s="70">
        <f t="shared" ref="O326:O389" ca="1" si="115">SUM(G326,K326,L326)</f>
        <v>142266.59803560199</v>
      </c>
      <c r="P326" s="70">
        <f t="shared" ca="1" si="107"/>
        <v>12265843.375940455</v>
      </c>
      <c r="Q326" s="70">
        <f ca="1">IF(OR(A326&gt;入力設定!$B$6*12,P326+AC326&lt;0.000001),0,IF(P326&lt;0.000001,Q325,IF(AE326=1,IF(C326=0,P326/MAX(1,入力設定!$B$6*12-A326+1),P326*(C326/12)/(1-(1+C326/12)^(-MAX(1,入力設定!$B$6*12-A326+1)))),Q325)))</f>
        <v>150233.43899513065</v>
      </c>
      <c r="R326" s="70">
        <f ca="1">IF(P326+AC326&lt;0.000001,0,IF(A326=入力設定!$B$6*12,P326+AB326+AC326,MIN(Q326,P326+AB326+AC326)))</f>
        <v>150233.43899513065</v>
      </c>
      <c r="S326" s="70">
        <f t="shared" ref="S326:S389" ca="1" si="116">MIN(R326,AB326+AC326)</f>
        <v>51107.680733085232</v>
      </c>
      <c r="T326" s="70">
        <f t="shared" ref="T326:T389" ca="1" si="117">R326-S326</f>
        <v>99125.75826204542</v>
      </c>
      <c r="U326" s="70">
        <f t="shared" ref="U326:U389" ca="1" si="118">MAX(0,P326-T326)</f>
        <v>12166717.617678409</v>
      </c>
      <c r="V326" s="70">
        <f t="shared" ref="V326:V389" ca="1" si="119">D326-I326-K326-M326</f>
        <v>0</v>
      </c>
      <c r="W326" s="70">
        <f t="shared" ref="W326:W389" ca="1" si="120">P326-T326-U326</f>
        <v>0</v>
      </c>
      <c r="X326" s="70">
        <f t="shared" ref="X326:X389" ca="1" si="121">O326-G326-K326-L326</f>
        <v>0</v>
      </c>
      <c r="Y326" s="71">
        <f t="shared" ref="Y326:Y389" ca="1" si="122">D326*C326/12</f>
        <v>31411.697984203478</v>
      </c>
      <c r="Z326" s="71">
        <f t="shared" ca="1" si="108"/>
        <v>0</v>
      </c>
      <c r="AA326" s="71">
        <f t="shared" ref="AA326:AA389" ca="1" si="123">MAX(0,Z326+Y326-H326)</f>
        <v>0</v>
      </c>
      <c r="AB326" s="71">
        <f t="shared" ref="AB326:AB389" ca="1" si="124">P326*C326/12</f>
        <v>51107.680733085232</v>
      </c>
      <c r="AC326" s="71">
        <f t="shared" ca="1" si="109"/>
        <v>0</v>
      </c>
      <c r="AD326" s="71">
        <f t="shared" ref="AD326:AD389" ca="1" si="125">MAX(0,AC326+AB326-S326)</f>
        <v>0</v>
      </c>
      <c r="AE326" s="72">
        <f t="shared" ref="AE326:AE389" si="126">IF(MOD(A326-1,60)=0,1,0)</f>
        <v>0</v>
      </c>
      <c r="AF326" s="73">
        <f>IF(A326&gt;入力設定!$B$6*12,0,IF(AND(ISNUMBER(C326),C326&gt;=0,C326&lt;=1),0,1))</f>
        <v>0</v>
      </c>
    </row>
    <row r="327" spans="1:32" ht="21" customHeight="1">
      <c r="A327" s="68">
        <f>322</f>
        <v>322</v>
      </c>
      <c r="B327" s="69">
        <f>EDATE(入力設定!$B$7,A327-1)</f>
        <v>56097</v>
      </c>
      <c r="C327" s="80">
        <f>INDEX(入力設定!$C$15:$C$24,INT((A327-1)/60)+1)</f>
        <v>0.05</v>
      </c>
      <c r="D327" s="70">
        <f t="shared" ref="D327:D390" ca="1" si="127">M326</f>
        <v>7427952.6161574358</v>
      </c>
      <c r="E327" s="70">
        <f t="shared" ref="E327:E390" ca="1" si="128">N326</f>
        <v>59</v>
      </c>
      <c r="F327" s="70">
        <f ca="1">IF(D327+Z327&lt;0.000001,0,IF(D327&lt;0.000001,F326,IF(OR(AE327=1,AND(K326&gt;0,入力設定!$B$8="返済額軽減型",入力設定!$B$11="翌月")),IF(C327=0,D327/MAX(1,E327),D327*(C327/12)/(1-(1+C327/12)^(-MAX(1,E327)))),F326)))</f>
        <v>142266.59803560199</v>
      </c>
      <c r="G327" s="70">
        <f t="shared" ca="1" si="110"/>
        <v>142266.59803560199</v>
      </c>
      <c r="H327" s="70">
        <f t="shared" ca="1" si="111"/>
        <v>30949.802567322651</v>
      </c>
      <c r="I327" s="70">
        <f t="shared" ca="1" si="112"/>
        <v>111316.79546827934</v>
      </c>
      <c r="J327" s="70">
        <f>SUMIFS(入力設定!$G$5:$G$24,入力設定!$F$5:$F$24,A327)</f>
        <v>0</v>
      </c>
      <c r="K327" s="70">
        <f t="shared" ca="1" si="113"/>
        <v>0</v>
      </c>
      <c r="L327" s="70">
        <f ca="1">IF(K327&gt;0,入力設定!$B$9,0)</f>
        <v>0</v>
      </c>
      <c r="M327" s="70">
        <f t="shared" ca="1" si="114"/>
        <v>7316635.8206891567</v>
      </c>
      <c r="N327" s="70">
        <f ca="1">IF(M327+AA327&lt;0.000001,0,IF(AND(K327&gt;0,入力設定!$B$8="期間短縮型",AA327&lt;0.000001,F327&gt;M327*C327/12),MAX(1,MIN(E327-1,IF(C327=0,ROUNDUP(M327/F327,0),ROUNDUP(-LN(1-M327*(C327/12)/F327)/LN(1+C327/12),0)))),MAX(1,E327-1)))</f>
        <v>58</v>
      </c>
      <c r="O327" s="70">
        <f t="shared" ca="1" si="115"/>
        <v>142266.59803560199</v>
      </c>
      <c r="P327" s="70">
        <f t="shared" ref="P327:P390" ca="1" si="129">U326</f>
        <v>12166717.617678409</v>
      </c>
      <c r="Q327" s="70">
        <f ca="1">IF(OR(A327&gt;入力設定!$B$6*12,P327+AC327&lt;0.000001),0,IF(P327&lt;0.000001,Q326,IF(AE327=1,IF(C327=0,P327/MAX(1,入力設定!$B$6*12-A327+1),P327*(C327/12)/(1-(1+C327/12)^(-MAX(1,入力設定!$B$6*12-A327+1)))),Q326)))</f>
        <v>150233.43899513065</v>
      </c>
      <c r="R327" s="70">
        <f ca="1">IF(P327+AC327&lt;0.000001,0,IF(A327=入力設定!$B$6*12,P327+AB327+AC327,MIN(Q327,P327+AB327+AC327)))</f>
        <v>150233.43899513065</v>
      </c>
      <c r="S327" s="70">
        <f t="shared" ca="1" si="116"/>
        <v>50694.656740326704</v>
      </c>
      <c r="T327" s="70">
        <f t="shared" ca="1" si="117"/>
        <v>99538.782254803955</v>
      </c>
      <c r="U327" s="70">
        <f t="shared" ca="1" si="118"/>
        <v>12067178.835423606</v>
      </c>
      <c r="V327" s="70">
        <f t="shared" ca="1" si="119"/>
        <v>0</v>
      </c>
      <c r="W327" s="70">
        <f t="shared" ca="1" si="120"/>
        <v>0</v>
      </c>
      <c r="X327" s="70">
        <f t="shared" ca="1" si="121"/>
        <v>0</v>
      </c>
      <c r="Y327" s="71">
        <f t="shared" ca="1" si="122"/>
        <v>30949.802567322651</v>
      </c>
      <c r="Z327" s="71">
        <f t="shared" ref="Z327:Z390" ca="1" si="130">AA326</f>
        <v>0</v>
      </c>
      <c r="AA327" s="71">
        <f t="shared" ca="1" si="123"/>
        <v>0</v>
      </c>
      <c r="AB327" s="71">
        <f t="shared" ca="1" si="124"/>
        <v>50694.656740326704</v>
      </c>
      <c r="AC327" s="71">
        <f t="shared" ref="AC327:AC390" ca="1" si="131">AD326</f>
        <v>0</v>
      </c>
      <c r="AD327" s="71">
        <f t="shared" ca="1" si="125"/>
        <v>0</v>
      </c>
      <c r="AE327" s="72">
        <f t="shared" si="126"/>
        <v>0</v>
      </c>
      <c r="AF327" s="73">
        <f>IF(A327&gt;入力設定!$B$6*12,0,IF(AND(ISNUMBER(C327),C327&gt;=0,C327&lt;=1),0,1))</f>
        <v>0</v>
      </c>
    </row>
    <row r="328" spans="1:32" ht="21" customHeight="1">
      <c r="A328" s="68">
        <f>323</f>
        <v>323</v>
      </c>
      <c r="B328" s="69">
        <f>EDATE(入力設定!$B$7,A328-1)</f>
        <v>56128</v>
      </c>
      <c r="C328" s="80">
        <f>INDEX(入力設定!$C$15:$C$24,INT((A328-1)/60)+1)</f>
        <v>0.05</v>
      </c>
      <c r="D328" s="70">
        <f t="shared" ca="1" si="127"/>
        <v>7316635.8206891567</v>
      </c>
      <c r="E328" s="70">
        <f t="shared" ca="1" si="128"/>
        <v>58</v>
      </c>
      <c r="F328" s="70">
        <f ca="1">IF(D328+Z328&lt;0.000001,0,IF(D328&lt;0.000001,F327,IF(OR(AE328=1,AND(K327&gt;0,入力設定!$B$8="返済額軽減型",入力設定!$B$11="翌月")),IF(C328=0,D328/MAX(1,E328),D328*(C328/12)/(1-(1+C328/12)^(-MAX(1,E328)))),F327)))</f>
        <v>142266.59803560199</v>
      </c>
      <c r="G328" s="70">
        <f t="shared" ca="1" si="110"/>
        <v>142266.59803560199</v>
      </c>
      <c r="H328" s="70">
        <f t="shared" ca="1" si="111"/>
        <v>30485.98258620482</v>
      </c>
      <c r="I328" s="70">
        <f t="shared" ca="1" si="112"/>
        <v>111780.61544939717</v>
      </c>
      <c r="J328" s="70">
        <f>SUMIFS(入力設定!$G$5:$G$24,入力設定!$F$5:$F$24,A328)</f>
        <v>0</v>
      </c>
      <c r="K328" s="70">
        <f t="shared" ca="1" si="113"/>
        <v>0</v>
      </c>
      <c r="L328" s="70">
        <f ca="1">IF(K328&gt;0,入力設定!$B$9,0)</f>
        <v>0</v>
      </c>
      <c r="M328" s="70">
        <f t="shared" ca="1" si="114"/>
        <v>7204855.2052397598</v>
      </c>
      <c r="N328" s="70">
        <f ca="1">IF(M328+AA328&lt;0.000001,0,IF(AND(K328&gt;0,入力設定!$B$8="期間短縮型",AA328&lt;0.000001,F328&gt;M328*C328/12),MAX(1,MIN(E328-1,IF(C328=0,ROUNDUP(M328/F328,0),ROUNDUP(-LN(1-M328*(C328/12)/F328)/LN(1+C328/12),0)))),MAX(1,E328-1)))</f>
        <v>57</v>
      </c>
      <c r="O328" s="70">
        <f t="shared" ca="1" si="115"/>
        <v>142266.59803560199</v>
      </c>
      <c r="P328" s="70">
        <f t="shared" ca="1" si="129"/>
        <v>12067178.835423606</v>
      </c>
      <c r="Q328" s="70">
        <f ca="1">IF(OR(A328&gt;入力設定!$B$6*12,P328+AC328&lt;0.000001),0,IF(P328&lt;0.000001,Q327,IF(AE328=1,IF(C328=0,P328/MAX(1,入力設定!$B$6*12-A328+1),P328*(C328/12)/(1-(1+C328/12)^(-MAX(1,入力設定!$B$6*12-A328+1)))),Q327)))</f>
        <v>150233.43899513065</v>
      </c>
      <c r="R328" s="70">
        <f ca="1">IF(P328+AC328&lt;0.000001,0,IF(A328=入力設定!$B$6*12,P328+AB328+AC328,MIN(Q328,P328+AB328+AC328)))</f>
        <v>150233.43899513065</v>
      </c>
      <c r="S328" s="70">
        <f t="shared" ca="1" si="116"/>
        <v>50279.911814265019</v>
      </c>
      <c r="T328" s="70">
        <f t="shared" ca="1" si="117"/>
        <v>99953.52718086564</v>
      </c>
      <c r="U328" s="70">
        <f t="shared" ca="1" si="118"/>
        <v>11967225.30824274</v>
      </c>
      <c r="V328" s="70">
        <f t="shared" ca="1" si="119"/>
        <v>0</v>
      </c>
      <c r="W328" s="70">
        <f t="shared" ca="1" si="120"/>
        <v>0</v>
      </c>
      <c r="X328" s="70">
        <f t="shared" ca="1" si="121"/>
        <v>0</v>
      </c>
      <c r="Y328" s="71">
        <f t="shared" ca="1" si="122"/>
        <v>30485.98258620482</v>
      </c>
      <c r="Z328" s="71">
        <f t="shared" ca="1" si="130"/>
        <v>0</v>
      </c>
      <c r="AA328" s="71">
        <f t="shared" ca="1" si="123"/>
        <v>0</v>
      </c>
      <c r="AB328" s="71">
        <f t="shared" ca="1" si="124"/>
        <v>50279.911814265019</v>
      </c>
      <c r="AC328" s="71">
        <f t="shared" ca="1" si="131"/>
        <v>0</v>
      </c>
      <c r="AD328" s="71">
        <f t="shared" ca="1" si="125"/>
        <v>0</v>
      </c>
      <c r="AE328" s="72">
        <f t="shared" si="126"/>
        <v>0</v>
      </c>
      <c r="AF328" s="73">
        <f>IF(A328&gt;入力設定!$B$6*12,0,IF(AND(ISNUMBER(C328),C328&gt;=0,C328&lt;=1),0,1))</f>
        <v>0</v>
      </c>
    </row>
    <row r="329" spans="1:32" ht="21" customHeight="1">
      <c r="A329" s="68">
        <f>324</f>
        <v>324</v>
      </c>
      <c r="B329" s="69">
        <f>EDATE(入力設定!$B$7,A329-1)</f>
        <v>56158</v>
      </c>
      <c r="C329" s="80">
        <f>INDEX(入力設定!$C$15:$C$24,INT((A329-1)/60)+1)</f>
        <v>0.05</v>
      </c>
      <c r="D329" s="70">
        <f t="shared" ca="1" si="127"/>
        <v>7204855.2052397598</v>
      </c>
      <c r="E329" s="70">
        <f t="shared" ca="1" si="128"/>
        <v>57</v>
      </c>
      <c r="F329" s="70">
        <f ca="1">IF(D329+Z329&lt;0.000001,0,IF(D329&lt;0.000001,F328,IF(OR(AE329=1,AND(K328&gt;0,入力設定!$B$8="返済額軽減型",入力設定!$B$11="翌月")),IF(C329=0,D329/MAX(1,E329),D329*(C329/12)/(1-(1+C329/12)^(-MAX(1,E329)))),F328)))</f>
        <v>142266.59803560199</v>
      </c>
      <c r="G329" s="70">
        <f t="shared" ca="1" si="110"/>
        <v>142266.59803560199</v>
      </c>
      <c r="H329" s="70">
        <f t="shared" ca="1" si="111"/>
        <v>30020.230021832336</v>
      </c>
      <c r="I329" s="70">
        <f t="shared" ca="1" si="112"/>
        <v>112246.36801376965</v>
      </c>
      <c r="J329" s="70">
        <f>SUMIFS(入力設定!$G$5:$G$24,入力設定!$F$5:$F$24,A329)</f>
        <v>0</v>
      </c>
      <c r="K329" s="70">
        <f t="shared" ca="1" si="113"/>
        <v>0</v>
      </c>
      <c r="L329" s="70">
        <f ca="1">IF(K329&gt;0,入力設定!$B$9,0)</f>
        <v>0</v>
      </c>
      <c r="M329" s="70">
        <f t="shared" ca="1" si="114"/>
        <v>7092608.8372259904</v>
      </c>
      <c r="N329" s="70">
        <f ca="1">IF(M329+AA329&lt;0.000001,0,IF(AND(K329&gt;0,入力設定!$B$8="期間短縮型",AA329&lt;0.000001,F329&gt;M329*C329/12),MAX(1,MIN(E329-1,IF(C329=0,ROUNDUP(M329/F329,0),ROUNDUP(-LN(1-M329*(C329/12)/F329)/LN(1+C329/12),0)))),MAX(1,E329-1)))</f>
        <v>56</v>
      </c>
      <c r="O329" s="70">
        <f t="shared" ca="1" si="115"/>
        <v>142266.59803560199</v>
      </c>
      <c r="P329" s="70">
        <f t="shared" ca="1" si="129"/>
        <v>11967225.30824274</v>
      </c>
      <c r="Q329" s="70">
        <f ca="1">IF(OR(A329&gt;入力設定!$B$6*12,P329+AC329&lt;0.000001),0,IF(P329&lt;0.000001,Q328,IF(AE329=1,IF(C329=0,P329/MAX(1,入力設定!$B$6*12-A329+1),P329*(C329/12)/(1-(1+C329/12)^(-MAX(1,入力設定!$B$6*12-A329+1)))),Q328)))</f>
        <v>150233.43899513065</v>
      </c>
      <c r="R329" s="70">
        <f ca="1">IF(P329+AC329&lt;0.000001,0,IF(A329=入力設定!$B$6*12,P329+AB329+AC329,MIN(Q329,P329+AB329+AC329)))</f>
        <v>150233.43899513065</v>
      </c>
      <c r="S329" s="70">
        <f t="shared" ca="1" si="116"/>
        <v>49863.438784344755</v>
      </c>
      <c r="T329" s="70">
        <f t="shared" ca="1" si="117"/>
        <v>100370.00021078589</v>
      </c>
      <c r="U329" s="70">
        <f t="shared" ca="1" si="118"/>
        <v>11866855.308031954</v>
      </c>
      <c r="V329" s="70">
        <f t="shared" ca="1" si="119"/>
        <v>0</v>
      </c>
      <c r="W329" s="70">
        <f t="shared" ca="1" si="120"/>
        <v>0</v>
      </c>
      <c r="X329" s="70">
        <f t="shared" ca="1" si="121"/>
        <v>0</v>
      </c>
      <c r="Y329" s="71">
        <f t="shared" ca="1" si="122"/>
        <v>30020.230021832336</v>
      </c>
      <c r="Z329" s="71">
        <f t="shared" ca="1" si="130"/>
        <v>0</v>
      </c>
      <c r="AA329" s="71">
        <f t="shared" ca="1" si="123"/>
        <v>0</v>
      </c>
      <c r="AB329" s="71">
        <f t="shared" ca="1" si="124"/>
        <v>49863.438784344755</v>
      </c>
      <c r="AC329" s="71">
        <f t="shared" ca="1" si="131"/>
        <v>0</v>
      </c>
      <c r="AD329" s="71">
        <f t="shared" ca="1" si="125"/>
        <v>0</v>
      </c>
      <c r="AE329" s="72">
        <f t="shared" si="126"/>
        <v>0</v>
      </c>
      <c r="AF329" s="73">
        <f>IF(A329&gt;入力設定!$B$6*12,0,IF(AND(ISNUMBER(C329),C329&gt;=0,C329&lt;=1),0,1))</f>
        <v>0</v>
      </c>
    </row>
    <row r="330" spans="1:32" ht="21" customHeight="1">
      <c r="A330" s="68">
        <f>325</f>
        <v>325</v>
      </c>
      <c r="B330" s="69">
        <f>EDATE(入力設定!$B$7,A330-1)</f>
        <v>56189</v>
      </c>
      <c r="C330" s="80">
        <f>INDEX(入力設定!$C$15:$C$24,INT((A330-1)/60)+1)</f>
        <v>0.05</v>
      </c>
      <c r="D330" s="70">
        <f t="shared" ca="1" si="127"/>
        <v>7092608.8372259904</v>
      </c>
      <c r="E330" s="70">
        <f t="shared" ca="1" si="128"/>
        <v>56</v>
      </c>
      <c r="F330" s="70">
        <f ca="1">IF(D330+Z330&lt;0.000001,0,IF(D330&lt;0.000001,F329,IF(OR(AE330=1,AND(K329&gt;0,入力設定!$B$8="返済額軽減型",入力設定!$B$11="翌月")),IF(C330=0,D330/MAX(1,E330),D330*(C330/12)/(1-(1+C330/12)^(-MAX(1,E330)))),F329)))</f>
        <v>142266.59803560199</v>
      </c>
      <c r="G330" s="70">
        <f t="shared" ca="1" si="110"/>
        <v>142266.59803560199</v>
      </c>
      <c r="H330" s="70">
        <f t="shared" ca="1" si="111"/>
        <v>29552.536821774964</v>
      </c>
      <c r="I330" s="70">
        <f t="shared" ca="1" si="112"/>
        <v>112714.06121382702</v>
      </c>
      <c r="J330" s="70">
        <f>SUMIFS(入力設定!$G$5:$G$24,入力設定!$F$5:$F$24,A330)</f>
        <v>0</v>
      </c>
      <c r="K330" s="70">
        <f t="shared" ca="1" si="113"/>
        <v>0</v>
      </c>
      <c r="L330" s="70">
        <f ca="1">IF(K330&gt;0,入力設定!$B$9,0)</f>
        <v>0</v>
      </c>
      <c r="M330" s="70">
        <f t="shared" ca="1" si="114"/>
        <v>6979894.7760121636</v>
      </c>
      <c r="N330" s="70">
        <f ca="1">IF(M330+AA330&lt;0.000001,0,IF(AND(K330&gt;0,入力設定!$B$8="期間短縮型",AA330&lt;0.000001,F330&gt;M330*C330/12),MAX(1,MIN(E330-1,IF(C330=0,ROUNDUP(M330/F330,0),ROUNDUP(-LN(1-M330*(C330/12)/F330)/LN(1+C330/12),0)))),MAX(1,E330-1)))</f>
        <v>55</v>
      </c>
      <c r="O330" s="70">
        <f t="shared" ca="1" si="115"/>
        <v>142266.59803560199</v>
      </c>
      <c r="P330" s="70">
        <f t="shared" ca="1" si="129"/>
        <v>11866855.308031954</v>
      </c>
      <c r="Q330" s="70">
        <f ca="1">IF(OR(A330&gt;入力設定!$B$6*12,P330+AC330&lt;0.000001),0,IF(P330&lt;0.000001,Q329,IF(AE330=1,IF(C330=0,P330/MAX(1,入力設定!$B$6*12-A330+1),P330*(C330/12)/(1-(1+C330/12)^(-MAX(1,入力設定!$B$6*12-A330+1)))),Q329)))</f>
        <v>150233.43899513065</v>
      </c>
      <c r="R330" s="70">
        <f ca="1">IF(P330+AC330&lt;0.000001,0,IF(A330=入力設定!$B$6*12,P330+AB330+AC330,MIN(Q330,P330+AB330+AC330)))</f>
        <v>150233.43899513065</v>
      </c>
      <c r="S330" s="70">
        <f t="shared" ca="1" si="116"/>
        <v>49445.230450133145</v>
      </c>
      <c r="T330" s="70">
        <f t="shared" ca="1" si="117"/>
        <v>100788.2085449975</v>
      </c>
      <c r="U330" s="70">
        <f t="shared" ca="1" si="118"/>
        <v>11766067.099486956</v>
      </c>
      <c r="V330" s="70">
        <f t="shared" ca="1" si="119"/>
        <v>0</v>
      </c>
      <c r="W330" s="70">
        <f t="shared" ca="1" si="120"/>
        <v>0</v>
      </c>
      <c r="X330" s="70">
        <f t="shared" ca="1" si="121"/>
        <v>0</v>
      </c>
      <c r="Y330" s="71">
        <f t="shared" ca="1" si="122"/>
        <v>29552.536821774964</v>
      </c>
      <c r="Z330" s="71">
        <f t="shared" ca="1" si="130"/>
        <v>0</v>
      </c>
      <c r="AA330" s="71">
        <f t="shared" ca="1" si="123"/>
        <v>0</v>
      </c>
      <c r="AB330" s="71">
        <f t="shared" ca="1" si="124"/>
        <v>49445.230450133145</v>
      </c>
      <c r="AC330" s="71">
        <f t="shared" ca="1" si="131"/>
        <v>0</v>
      </c>
      <c r="AD330" s="71">
        <f t="shared" ca="1" si="125"/>
        <v>0</v>
      </c>
      <c r="AE330" s="72">
        <f t="shared" si="126"/>
        <v>0</v>
      </c>
      <c r="AF330" s="73">
        <f>IF(A330&gt;入力設定!$B$6*12,0,IF(AND(ISNUMBER(C330),C330&gt;=0,C330&lt;=1),0,1))</f>
        <v>0</v>
      </c>
    </row>
    <row r="331" spans="1:32" ht="21" customHeight="1">
      <c r="A331" s="68">
        <f>326</f>
        <v>326</v>
      </c>
      <c r="B331" s="69">
        <f>EDATE(入力設定!$B$7,A331-1)</f>
        <v>56219</v>
      </c>
      <c r="C331" s="80">
        <f>INDEX(入力設定!$C$15:$C$24,INT((A331-1)/60)+1)</f>
        <v>0.05</v>
      </c>
      <c r="D331" s="70">
        <f t="shared" ca="1" si="127"/>
        <v>6979894.7760121636</v>
      </c>
      <c r="E331" s="70">
        <f t="shared" ca="1" si="128"/>
        <v>55</v>
      </c>
      <c r="F331" s="70">
        <f ca="1">IF(D331+Z331&lt;0.000001,0,IF(D331&lt;0.000001,F330,IF(OR(AE331=1,AND(K330&gt;0,入力設定!$B$8="返済額軽減型",入力設定!$B$11="翌月")),IF(C331=0,D331/MAX(1,E331),D331*(C331/12)/(1-(1+C331/12)^(-MAX(1,E331)))),F330)))</f>
        <v>142266.59803560199</v>
      </c>
      <c r="G331" s="70">
        <f t="shared" ca="1" si="110"/>
        <v>142266.59803560199</v>
      </c>
      <c r="H331" s="70">
        <f t="shared" ca="1" si="111"/>
        <v>29082.894900050684</v>
      </c>
      <c r="I331" s="70">
        <f t="shared" ca="1" si="112"/>
        <v>113183.7031355513</v>
      </c>
      <c r="J331" s="70">
        <f>SUMIFS(入力設定!$G$5:$G$24,入力設定!$F$5:$F$24,A331)</f>
        <v>0</v>
      </c>
      <c r="K331" s="70">
        <f t="shared" ca="1" si="113"/>
        <v>0</v>
      </c>
      <c r="L331" s="70">
        <f ca="1">IF(K331&gt;0,入力設定!$B$9,0)</f>
        <v>0</v>
      </c>
      <c r="M331" s="70">
        <f t="shared" ca="1" si="114"/>
        <v>6866711.0728766127</v>
      </c>
      <c r="N331" s="70">
        <f ca="1">IF(M331+AA331&lt;0.000001,0,IF(AND(K331&gt;0,入力設定!$B$8="期間短縮型",AA331&lt;0.000001,F331&gt;M331*C331/12),MAX(1,MIN(E331-1,IF(C331=0,ROUNDUP(M331/F331,0),ROUNDUP(-LN(1-M331*(C331/12)/F331)/LN(1+C331/12),0)))),MAX(1,E331-1)))</f>
        <v>54</v>
      </c>
      <c r="O331" s="70">
        <f t="shared" ca="1" si="115"/>
        <v>142266.59803560199</v>
      </c>
      <c r="P331" s="70">
        <f t="shared" ca="1" si="129"/>
        <v>11766067.099486956</v>
      </c>
      <c r="Q331" s="70">
        <f ca="1">IF(OR(A331&gt;入力設定!$B$6*12,P331+AC331&lt;0.000001),0,IF(P331&lt;0.000001,Q330,IF(AE331=1,IF(C331=0,P331/MAX(1,入力設定!$B$6*12-A331+1),P331*(C331/12)/(1-(1+C331/12)^(-MAX(1,入力設定!$B$6*12-A331+1)))),Q330)))</f>
        <v>150233.43899513065</v>
      </c>
      <c r="R331" s="70">
        <f ca="1">IF(P331+AC331&lt;0.000001,0,IF(A331=入力設定!$B$6*12,P331+AB331+AC331,MIN(Q331,P331+AB331+AC331)))</f>
        <v>150233.43899513065</v>
      </c>
      <c r="S331" s="70">
        <f t="shared" ca="1" si="116"/>
        <v>49025.279581195653</v>
      </c>
      <c r="T331" s="70">
        <f t="shared" ca="1" si="117"/>
        <v>101208.15941393501</v>
      </c>
      <c r="U331" s="70">
        <f t="shared" ca="1" si="118"/>
        <v>11664858.940073021</v>
      </c>
      <c r="V331" s="70">
        <f t="shared" ca="1" si="119"/>
        <v>0</v>
      </c>
      <c r="W331" s="70">
        <f t="shared" ca="1" si="120"/>
        <v>0</v>
      </c>
      <c r="X331" s="70">
        <f t="shared" ca="1" si="121"/>
        <v>0</v>
      </c>
      <c r="Y331" s="71">
        <f t="shared" ca="1" si="122"/>
        <v>29082.894900050684</v>
      </c>
      <c r="Z331" s="71">
        <f t="shared" ca="1" si="130"/>
        <v>0</v>
      </c>
      <c r="AA331" s="71">
        <f t="shared" ca="1" si="123"/>
        <v>0</v>
      </c>
      <c r="AB331" s="71">
        <f t="shared" ca="1" si="124"/>
        <v>49025.279581195653</v>
      </c>
      <c r="AC331" s="71">
        <f t="shared" ca="1" si="131"/>
        <v>0</v>
      </c>
      <c r="AD331" s="71">
        <f t="shared" ca="1" si="125"/>
        <v>0</v>
      </c>
      <c r="AE331" s="72">
        <f t="shared" si="126"/>
        <v>0</v>
      </c>
      <c r="AF331" s="73">
        <f>IF(A331&gt;入力設定!$B$6*12,0,IF(AND(ISNUMBER(C331),C331&gt;=0,C331&lt;=1),0,1))</f>
        <v>0</v>
      </c>
    </row>
    <row r="332" spans="1:32" ht="21" customHeight="1">
      <c r="A332" s="68">
        <f>327</f>
        <v>327</v>
      </c>
      <c r="B332" s="69">
        <f>EDATE(入力設定!$B$7,A332-1)</f>
        <v>56250</v>
      </c>
      <c r="C332" s="80">
        <f>INDEX(入力設定!$C$15:$C$24,INT((A332-1)/60)+1)</f>
        <v>0.05</v>
      </c>
      <c r="D332" s="70">
        <f t="shared" ca="1" si="127"/>
        <v>6866711.0728766127</v>
      </c>
      <c r="E332" s="70">
        <f t="shared" ca="1" si="128"/>
        <v>54</v>
      </c>
      <c r="F332" s="70">
        <f ca="1">IF(D332+Z332&lt;0.000001,0,IF(D332&lt;0.000001,F331,IF(OR(AE332=1,AND(K331&gt;0,入力設定!$B$8="返済額軽減型",入力設定!$B$11="翌月")),IF(C332=0,D332/MAX(1,E332),D332*(C332/12)/(1-(1+C332/12)^(-MAX(1,E332)))),F331)))</f>
        <v>142266.59803560199</v>
      </c>
      <c r="G332" s="70">
        <f t="shared" ca="1" si="110"/>
        <v>142266.59803560199</v>
      </c>
      <c r="H332" s="70">
        <f t="shared" ca="1" si="111"/>
        <v>28611.296136985886</v>
      </c>
      <c r="I332" s="70">
        <f t="shared" ca="1" si="112"/>
        <v>113655.3018986161</v>
      </c>
      <c r="J332" s="70">
        <f>SUMIFS(入力設定!$G$5:$G$24,入力設定!$F$5:$F$24,A332)</f>
        <v>0</v>
      </c>
      <c r="K332" s="70">
        <f t="shared" ca="1" si="113"/>
        <v>0</v>
      </c>
      <c r="L332" s="70">
        <f ca="1">IF(K332&gt;0,入力設定!$B$9,0)</f>
        <v>0</v>
      </c>
      <c r="M332" s="70">
        <f t="shared" ca="1" si="114"/>
        <v>6753055.7709779963</v>
      </c>
      <c r="N332" s="70">
        <f ca="1">IF(M332+AA332&lt;0.000001,0,IF(AND(K332&gt;0,入力設定!$B$8="期間短縮型",AA332&lt;0.000001,F332&gt;M332*C332/12),MAX(1,MIN(E332-1,IF(C332=0,ROUNDUP(M332/F332,0),ROUNDUP(-LN(1-M332*(C332/12)/F332)/LN(1+C332/12),0)))),MAX(1,E332-1)))</f>
        <v>53</v>
      </c>
      <c r="O332" s="70">
        <f t="shared" ca="1" si="115"/>
        <v>142266.59803560199</v>
      </c>
      <c r="P332" s="70">
        <f t="shared" ca="1" si="129"/>
        <v>11664858.940073021</v>
      </c>
      <c r="Q332" s="70">
        <f ca="1">IF(OR(A332&gt;入力設定!$B$6*12,P332+AC332&lt;0.000001),0,IF(P332&lt;0.000001,Q331,IF(AE332=1,IF(C332=0,P332/MAX(1,入力設定!$B$6*12-A332+1),P332*(C332/12)/(1-(1+C332/12)^(-MAX(1,入力設定!$B$6*12-A332+1)))),Q331)))</f>
        <v>150233.43899513065</v>
      </c>
      <c r="R332" s="70">
        <f ca="1">IF(P332+AC332&lt;0.000001,0,IF(A332=入力設定!$B$6*12,P332+AB332+AC332,MIN(Q332,P332+AB332+AC332)))</f>
        <v>150233.43899513065</v>
      </c>
      <c r="S332" s="70">
        <f t="shared" ca="1" si="116"/>
        <v>48603.578916970924</v>
      </c>
      <c r="T332" s="70">
        <f t="shared" ca="1" si="117"/>
        <v>101629.86007815972</v>
      </c>
      <c r="U332" s="70">
        <f t="shared" ca="1" si="118"/>
        <v>11563229.079994861</v>
      </c>
      <c r="V332" s="70">
        <f t="shared" ca="1" si="119"/>
        <v>0</v>
      </c>
      <c r="W332" s="70">
        <f t="shared" ca="1" si="120"/>
        <v>0</v>
      </c>
      <c r="X332" s="70">
        <f t="shared" ca="1" si="121"/>
        <v>0</v>
      </c>
      <c r="Y332" s="71">
        <f t="shared" ca="1" si="122"/>
        <v>28611.296136985886</v>
      </c>
      <c r="Z332" s="71">
        <f t="shared" ca="1" si="130"/>
        <v>0</v>
      </c>
      <c r="AA332" s="71">
        <f t="shared" ca="1" si="123"/>
        <v>0</v>
      </c>
      <c r="AB332" s="71">
        <f t="shared" ca="1" si="124"/>
        <v>48603.578916970924</v>
      </c>
      <c r="AC332" s="71">
        <f t="shared" ca="1" si="131"/>
        <v>0</v>
      </c>
      <c r="AD332" s="71">
        <f t="shared" ca="1" si="125"/>
        <v>0</v>
      </c>
      <c r="AE332" s="72">
        <f t="shared" si="126"/>
        <v>0</v>
      </c>
      <c r="AF332" s="73">
        <f>IF(A332&gt;入力設定!$B$6*12,0,IF(AND(ISNUMBER(C332),C332&gt;=0,C332&lt;=1),0,1))</f>
        <v>0</v>
      </c>
    </row>
    <row r="333" spans="1:32" ht="21" customHeight="1">
      <c r="A333" s="68">
        <f>328</f>
        <v>328</v>
      </c>
      <c r="B333" s="69">
        <f>EDATE(入力設定!$B$7,A333-1)</f>
        <v>56281</v>
      </c>
      <c r="C333" s="80">
        <f>INDEX(入力設定!$C$15:$C$24,INT((A333-1)/60)+1)</f>
        <v>0.05</v>
      </c>
      <c r="D333" s="70">
        <f t="shared" ca="1" si="127"/>
        <v>6753055.7709779963</v>
      </c>
      <c r="E333" s="70">
        <f t="shared" ca="1" si="128"/>
        <v>53</v>
      </c>
      <c r="F333" s="70">
        <f ca="1">IF(D333+Z333&lt;0.000001,0,IF(D333&lt;0.000001,F332,IF(OR(AE333=1,AND(K332&gt;0,入力設定!$B$8="返済額軽減型",入力設定!$B$11="翌月")),IF(C333=0,D333/MAX(1,E333),D333*(C333/12)/(1-(1+C333/12)^(-MAX(1,E333)))),F332)))</f>
        <v>142266.59803560199</v>
      </c>
      <c r="G333" s="70">
        <f t="shared" ca="1" si="110"/>
        <v>142266.59803560199</v>
      </c>
      <c r="H333" s="70">
        <f t="shared" ca="1" si="111"/>
        <v>28137.732379074983</v>
      </c>
      <c r="I333" s="70">
        <f t="shared" ca="1" si="112"/>
        <v>114128.86565652701</v>
      </c>
      <c r="J333" s="70">
        <f>SUMIFS(入力設定!$G$5:$G$24,入力設定!$F$5:$F$24,A333)</f>
        <v>0</v>
      </c>
      <c r="K333" s="70">
        <f t="shared" ca="1" si="113"/>
        <v>0</v>
      </c>
      <c r="L333" s="70">
        <f ca="1">IF(K333&gt;0,入力設定!$B$9,0)</f>
        <v>0</v>
      </c>
      <c r="M333" s="70">
        <f t="shared" ca="1" si="114"/>
        <v>6638926.9053214695</v>
      </c>
      <c r="N333" s="70">
        <f ca="1">IF(M333+AA333&lt;0.000001,0,IF(AND(K333&gt;0,入力設定!$B$8="期間短縮型",AA333&lt;0.000001,F333&gt;M333*C333/12),MAX(1,MIN(E333-1,IF(C333=0,ROUNDUP(M333/F333,0),ROUNDUP(-LN(1-M333*(C333/12)/F333)/LN(1+C333/12),0)))),MAX(1,E333-1)))</f>
        <v>52</v>
      </c>
      <c r="O333" s="70">
        <f t="shared" ca="1" si="115"/>
        <v>142266.59803560199</v>
      </c>
      <c r="P333" s="70">
        <f t="shared" ca="1" si="129"/>
        <v>11563229.079994861</v>
      </c>
      <c r="Q333" s="70">
        <f ca="1">IF(OR(A333&gt;入力設定!$B$6*12,P333+AC333&lt;0.000001),0,IF(P333&lt;0.000001,Q332,IF(AE333=1,IF(C333=0,P333/MAX(1,入力設定!$B$6*12-A333+1),P333*(C333/12)/(1-(1+C333/12)^(-MAX(1,入力設定!$B$6*12-A333+1)))),Q332)))</f>
        <v>150233.43899513065</v>
      </c>
      <c r="R333" s="70">
        <f ca="1">IF(P333+AC333&lt;0.000001,0,IF(A333=入力設定!$B$6*12,P333+AB333+AC333,MIN(Q333,P333+AB333+AC333)))</f>
        <v>150233.43899513065</v>
      </c>
      <c r="S333" s="70">
        <f t="shared" ca="1" si="116"/>
        <v>48180.121166645258</v>
      </c>
      <c r="T333" s="70">
        <f t="shared" ca="1" si="117"/>
        <v>102053.31782848539</v>
      </c>
      <c r="U333" s="70">
        <f t="shared" ca="1" si="118"/>
        <v>11461175.762166375</v>
      </c>
      <c r="V333" s="70">
        <f t="shared" ca="1" si="119"/>
        <v>0</v>
      </c>
      <c r="W333" s="70">
        <f t="shared" ca="1" si="120"/>
        <v>0</v>
      </c>
      <c r="X333" s="70">
        <f t="shared" ca="1" si="121"/>
        <v>0</v>
      </c>
      <c r="Y333" s="71">
        <f t="shared" ca="1" si="122"/>
        <v>28137.732379074983</v>
      </c>
      <c r="Z333" s="71">
        <f t="shared" ca="1" si="130"/>
        <v>0</v>
      </c>
      <c r="AA333" s="71">
        <f t="shared" ca="1" si="123"/>
        <v>0</v>
      </c>
      <c r="AB333" s="71">
        <f t="shared" ca="1" si="124"/>
        <v>48180.121166645258</v>
      </c>
      <c r="AC333" s="71">
        <f t="shared" ca="1" si="131"/>
        <v>0</v>
      </c>
      <c r="AD333" s="71">
        <f t="shared" ca="1" si="125"/>
        <v>0</v>
      </c>
      <c r="AE333" s="72">
        <f t="shared" si="126"/>
        <v>0</v>
      </c>
      <c r="AF333" s="73">
        <f>IF(A333&gt;入力設定!$B$6*12,0,IF(AND(ISNUMBER(C333),C333&gt;=0,C333&lt;=1),0,1))</f>
        <v>0</v>
      </c>
    </row>
    <row r="334" spans="1:32" ht="21" customHeight="1">
      <c r="A334" s="68">
        <f>329</f>
        <v>329</v>
      </c>
      <c r="B334" s="69">
        <f>EDATE(入力設定!$B$7,A334-1)</f>
        <v>56309</v>
      </c>
      <c r="C334" s="80">
        <f>INDEX(入力設定!$C$15:$C$24,INT((A334-1)/60)+1)</f>
        <v>0.05</v>
      </c>
      <c r="D334" s="70">
        <f t="shared" ca="1" si="127"/>
        <v>6638926.9053214695</v>
      </c>
      <c r="E334" s="70">
        <f t="shared" ca="1" si="128"/>
        <v>52</v>
      </c>
      <c r="F334" s="70">
        <f ca="1">IF(D334+Z334&lt;0.000001,0,IF(D334&lt;0.000001,F333,IF(OR(AE334=1,AND(K333&gt;0,入力設定!$B$8="返済額軽減型",入力設定!$B$11="翌月")),IF(C334=0,D334/MAX(1,E334),D334*(C334/12)/(1-(1+C334/12)^(-MAX(1,E334)))),F333)))</f>
        <v>142266.59803560199</v>
      </c>
      <c r="G334" s="70">
        <f t="shared" ca="1" si="110"/>
        <v>142266.59803560199</v>
      </c>
      <c r="H334" s="70">
        <f t="shared" ca="1" si="111"/>
        <v>27662.195438839455</v>
      </c>
      <c r="I334" s="70">
        <f t="shared" ca="1" si="112"/>
        <v>114604.40259676253</v>
      </c>
      <c r="J334" s="70">
        <f>SUMIFS(入力設定!$G$5:$G$24,入力設定!$F$5:$F$24,A334)</f>
        <v>0</v>
      </c>
      <c r="K334" s="70">
        <f t="shared" ca="1" si="113"/>
        <v>0</v>
      </c>
      <c r="L334" s="70">
        <f ca="1">IF(K334&gt;0,入力設定!$B$9,0)</f>
        <v>0</v>
      </c>
      <c r="M334" s="70">
        <f t="shared" ca="1" si="114"/>
        <v>6524322.5027247071</v>
      </c>
      <c r="N334" s="70">
        <f ca="1">IF(M334+AA334&lt;0.000001,0,IF(AND(K334&gt;0,入力設定!$B$8="期間短縮型",AA334&lt;0.000001,F334&gt;M334*C334/12),MAX(1,MIN(E334-1,IF(C334=0,ROUNDUP(M334/F334,0),ROUNDUP(-LN(1-M334*(C334/12)/F334)/LN(1+C334/12),0)))),MAX(1,E334-1)))</f>
        <v>51</v>
      </c>
      <c r="O334" s="70">
        <f t="shared" ca="1" si="115"/>
        <v>142266.59803560199</v>
      </c>
      <c r="P334" s="70">
        <f t="shared" ca="1" si="129"/>
        <v>11461175.762166375</v>
      </c>
      <c r="Q334" s="70">
        <f ca="1">IF(OR(A334&gt;入力設定!$B$6*12,P334+AC334&lt;0.000001),0,IF(P334&lt;0.000001,Q333,IF(AE334=1,IF(C334=0,P334/MAX(1,入力設定!$B$6*12-A334+1),P334*(C334/12)/(1-(1+C334/12)^(-MAX(1,入力設定!$B$6*12-A334+1)))),Q333)))</f>
        <v>150233.43899513065</v>
      </c>
      <c r="R334" s="70">
        <f ca="1">IF(P334+AC334&lt;0.000001,0,IF(A334=入力設定!$B$6*12,P334+AB334+AC334,MIN(Q334,P334+AB334+AC334)))</f>
        <v>150233.43899513065</v>
      </c>
      <c r="S334" s="70">
        <f t="shared" ca="1" si="116"/>
        <v>47754.899009026565</v>
      </c>
      <c r="T334" s="70">
        <f t="shared" ca="1" si="117"/>
        <v>102478.53998610409</v>
      </c>
      <c r="U334" s="70">
        <f t="shared" ca="1" si="118"/>
        <v>11358697.222180272</v>
      </c>
      <c r="V334" s="70">
        <f t="shared" ca="1" si="119"/>
        <v>0</v>
      </c>
      <c r="W334" s="70">
        <f t="shared" ca="1" si="120"/>
        <v>0</v>
      </c>
      <c r="X334" s="70">
        <f t="shared" ca="1" si="121"/>
        <v>0</v>
      </c>
      <c r="Y334" s="71">
        <f t="shared" ca="1" si="122"/>
        <v>27662.195438839455</v>
      </c>
      <c r="Z334" s="71">
        <f t="shared" ca="1" si="130"/>
        <v>0</v>
      </c>
      <c r="AA334" s="71">
        <f t="shared" ca="1" si="123"/>
        <v>0</v>
      </c>
      <c r="AB334" s="71">
        <f t="shared" ca="1" si="124"/>
        <v>47754.899009026565</v>
      </c>
      <c r="AC334" s="71">
        <f t="shared" ca="1" si="131"/>
        <v>0</v>
      </c>
      <c r="AD334" s="71">
        <f t="shared" ca="1" si="125"/>
        <v>0</v>
      </c>
      <c r="AE334" s="72">
        <f t="shared" si="126"/>
        <v>0</v>
      </c>
      <c r="AF334" s="73">
        <f>IF(A334&gt;入力設定!$B$6*12,0,IF(AND(ISNUMBER(C334),C334&gt;=0,C334&lt;=1),0,1))</f>
        <v>0</v>
      </c>
    </row>
    <row r="335" spans="1:32" ht="21" customHeight="1">
      <c r="A335" s="68">
        <f>330</f>
        <v>330</v>
      </c>
      <c r="B335" s="69">
        <f>EDATE(入力設定!$B$7,A335-1)</f>
        <v>56340</v>
      </c>
      <c r="C335" s="80">
        <f>INDEX(入力設定!$C$15:$C$24,INT((A335-1)/60)+1)</f>
        <v>0.05</v>
      </c>
      <c r="D335" s="70">
        <f t="shared" ca="1" si="127"/>
        <v>6524322.5027247071</v>
      </c>
      <c r="E335" s="70">
        <f t="shared" ca="1" si="128"/>
        <v>51</v>
      </c>
      <c r="F335" s="70">
        <f ca="1">IF(D335+Z335&lt;0.000001,0,IF(D335&lt;0.000001,F334,IF(OR(AE335=1,AND(K334&gt;0,入力設定!$B$8="返済額軽減型",入力設定!$B$11="翌月")),IF(C335=0,D335/MAX(1,E335),D335*(C335/12)/(1-(1+C335/12)^(-MAX(1,E335)))),F334)))</f>
        <v>142266.59803560199</v>
      </c>
      <c r="G335" s="70">
        <f t="shared" ca="1" si="110"/>
        <v>142266.59803560199</v>
      </c>
      <c r="H335" s="70">
        <f t="shared" ca="1" si="111"/>
        <v>27184.677094686282</v>
      </c>
      <c r="I335" s="70">
        <f t="shared" ca="1" si="112"/>
        <v>115081.9209409157</v>
      </c>
      <c r="J335" s="70">
        <f>SUMIFS(入力設定!$G$5:$G$24,入力設定!$F$5:$F$24,A335)</f>
        <v>0</v>
      </c>
      <c r="K335" s="70">
        <f t="shared" ca="1" si="113"/>
        <v>0</v>
      </c>
      <c r="L335" s="70">
        <f ca="1">IF(K335&gt;0,入力設定!$B$9,0)</f>
        <v>0</v>
      </c>
      <c r="M335" s="70">
        <f t="shared" ca="1" si="114"/>
        <v>6409240.5817837911</v>
      </c>
      <c r="N335" s="70">
        <f ca="1">IF(M335+AA335&lt;0.000001,0,IF(AND(K335&gt;0,入力設定!$B$8="期間短縮型",AA335&lt;0.000001,F335&gt;M335*C335/12),MAX(1,MIN(E335-1,IF(C335=0,ROUNDUP(M335/F335,0),ROUNDUP(-LN(1-M335*(C335/12)/F335)/LN(1+C335/12),0)))),MAX(1,E335-1)))</f>
        <v>50</v>
      </c>
      <c r="O335" s="70">
        <f t="shared" ca="1" si="115"/>
        <v>142266.59803560199</v>
      </c>
      <c r="P335" s="70">
        <f t="shared" ca="1" si="129"/>
        <v>11358697.222180272</v>
      </c>
      <c r="Q335" s="70">
        <f ca="1">IF(OR(A335&gt;入力設定!$B$6*12,P335+AC335&lt;0.000001),0,IF(P335&lt;0.000001,Q334,IF(AE335=1,IF(C335=0,P335/MAX(1,入力設定!$B$6*12-A335+1),P335*(C335/12)/(1-(1+C335/12)^(-MAX(1,入力設定!$B$6*12-A335+1)))),Q334)))</f>
        <v>150233.43899513065</v>
      </c>
      <c r="R335" s="70">
        <f ca="1">IF(P335+AC335&lt;0.000001,0,IF(A335=入力設定!$B$6*12,P335+AB335+AC335,MIN(Q335,P335+AB335+AC335)))</f>
        <v>150233.43899513065</v>
      </c>
      <c r="S335" s="70">
        <f t="shared" ca="1" si="116"/>
        <v>47327.905092417794</v>
      </c>
      <c r="T335" s="70">
        <f t="shared" ca="1" si="117"/>
        <v>102905.53390271286</v>
      </c>
      <c r="U335" s="70">
        <f t="shared" ca="1" si="118"/>
        <v>11255791.688277559</v>
      </c>
      <c r="V335" s="70">
        <f t="shared" ca="1" si="119"/>
        <v>0</v>
      </c>
      <c r="W335" s="70">
        <f t="shared" ca="1" si="120"/>
        <v>0</v>
      </c>
      <c r="X335" s="70">
        <f t="shared" ca="1" si="121"/>
        <v>0</v>
      </c>
      <c r="Y335" s="71">
        <f t="shared" ca="1" si="122"/>
        <v>27184.677094686282</v>
      </c>
      <c r="Z335" s="71">
        <f t="shared" ca="1" si="130"/>
        <v>0</v>
      </c>
      <c r="AA335" s="71">
        <f t="shared" ca="1" si="123"/>
        <v>0</v>
      </c>
      <c r="AB335" s="71">
        <f t="shared" ca="1" si="124"/>
        <v>47327.905092417794</v>
      </c>
      <c r="AC335" s="71">
        <f t="shared" ca="1" si="131"/>
        <v>0</v>
      </c>
      <c r="AD335" s="71">
        <f t="shared" ca="1" si="125"/>
        <v>0</v>
      </c>
      <c r="AE335" s="72">
        <f t="shared" si="126"/>
        <v>0</v>
      </c>
      <c r="AF335" s="73">
        <f>IF(A335&gt;入力設定!$B$6*12,0,IF(AND(ISNUMBER(C335),C335&gt;=0,C335&lt;=1),0,1))</f>
        <v>0</v>
      </c>
    </row>
    <row r="336" spans="1:32" ht="21" customHeight="1">
      <c r="A336" s="68">
        <f>331</f>
        <v>331</v>
      </c>
      <c r="B336" s="69">
        <f>EDATE(入力設定!$B$7,A336-1)</f>
        <v>56370</v>
      </c>
      <c r="C336" s="80">
        <f>INDEX(入力設定!$C$15:$C$24,INT((A336-1)/60)+1)</f>
        <v>0.05</v>
      </c>
      <c r="D336" s="70">
        <f t="shared" ca="1" si="127"/>
        <v>6409240.5817837911</v>
      </c>
      <c r="E336" s="70">
        <f t="shared" ca="1" si="128"/>
        <v>50</v>
      </c>
      <c r="F336" s="70">
        <f ca="1">IF(D336+Z336&lt;0.000001,0,IF(D336&lt;0.000001,F335,IF(OR(AE336=1,AND(K335&gt;0,入力設定!$B$8="返済額軽減型",入力設定!$B$11="翌月")),IF(C336=0,D336/MAX(1,E336),D336*(C336/12)/(1-(1+C336/12)^(-MAX(1,E336)))),F335)))</f>
        <v>142266.59803560199</v>
      </c>
      <c r="G336" s="70">
        <f t="shared" ca="1" si="110"/>
        <v>142266.59803560199</v>
      </c>
      <c r="H336" s="70">
        <f t="shared" ca="1" si="111"/>
        <v>26705.169090765801</v>
      </c>
      <c r="I336" s="70">
        <f t="shared" ca="1" si="112"/>
        <v>115561.42894483618</v>
      </c>
      <c r="J336" s="70">
        <f>SUMIFS(入力設定!$G$5:$G$24,入力設定!$F$5:$F$24,A336)</f>
        <v>0</v>
      </c>
      <c r="K336" s="70">
        <f t="shared" ca="1" si="113"/>
        <v>0</v>
      </c>
      <c r="L336" s="70">
        <f ca="1">IF(K336&gt;0,入力設定!$B$9,0)</f>
        <v>0</v>
      </c>
      <c r="M336" s="70">
        <f t="shared" ca="1" si="114"/>
        <v>6293679.1528389547</v>
      </c>
      <c r="N336" s="70">
        <f ca="1">IF(M336+AA336&lt;0.000001,0,IF(AND(K336&gt;0,入力設定!$B$8="期間短縮型",AA336&lt;0.000001,F336&gt;M336*C336/12),MAX(1,MIN(E336-1,IF(C336=0,ROUNDUP(M336/F336,0),ROUNDUP(-LN(1-M336*(C336/12)/F336)/LN(1+C336/12),0)))),MAX(1,E336-1)))</f>
        <v>49</v>
      </c>
      <c r="O336" s="70">
        <f t="shared" ca="1" si="115"/>
        <v>142266.59803560199</v>
      </c>
      <c r="P336" s="70">
        <f t="shared" ca="1" si="129"/>
        <v>11255791.688277559</v>
      </c>
      <c r="Q336" s="70">
        <f ca="1">IF(OR(A336&gt;入力設定!$B$6*12,P336+AC336&lt;0.000001),0,IF(P336&lt;0.000001,Q335,IF(AE336=1,IF(C336=0,P336/MAX(1,入力設定!$B$6*12-A336+1),P336*(C336/12)/(1-(1+C336/12)^(-MAX(1,入力設定!$B$6*12-A336+1)))),Q335)))</f>
        <v>150233.43899513065</v>
      </c>
      <c r="R336" s="70">
        <f ca="1">IF(P336+AC336&lt;0.000001,0,IF(A336=入力設定!$B$6*12,P336+AB336+AC336,MIN(Q336,P336+AB336+AC336)))</f>
        <v>150233.43899513065</v>
      </c>
      <c r="S336" s="70">
        <f t="shared" ca="1" si="116"/>
        <v>46899.132034489834</v>
      </c>
      <c r="T336" s="70">
        <f t="shared" ca="1" si="117"/>
        <v>103334.30696064082</v>
      </c>
      <c r="U336" s="70">
        <f t="shared" ca="1" si="118"/>
        <v>11152457.381316919</v>
      </c>
      <c r="V336" s="70">
        <f t="shared" ca="1" si="119"/>
        <v>0</v>
      </c>
      <c r="W336" s="70">
        <f t="shared" ca="1" si="120"/>
        <v>0</v>
      </c>
      <c r="X336" s="70">
        <f t="shared" ca="1" si="121"/>
        <v>0</v>
      </c>
      <c r="Y336" s="71">
        <f t="shared" ca="1" si="122"/>
        <v>26705.169090765801</v>
      </c>
      <c r="Z336" s="71">
        <f t="shared" ca="1" si="130"/>
        <v>0</v>
      </c>
      <c r="AA336" s="71">
        <f t="shared" ca="1" si="123"/>
        <v>0</v>
      </c>
      <c r="AB336" s="71">
        <f t="shared" ca="1" si="124"/>
        <v>46899.132034489834</v>
      </c>
      <c r="AC336" s="71">
        <f t="shared" ca="1" si="131"/>
        <v>0</v>
      </c>
      <c r="AD336" s="71">
        <f t="shared" ca="1" si="125"/>
        <v>0</v>
      </c>
      <c r="AE336" s="72">
        <f t="shared" si="126"/>
        <v>0</v>
      </c>
      <c r="AF336" s="73">
        <f>IF(A336&gt;入力設定!$B$6*12,0,IF(AND(ISNUMBER(C336),C336&gt;=0,C336&lt;=1),0,1))</f>
        <v>0</v>
      </c>
    </row>
    <row r="337" spans="1:32" ht="21" customHeight="1">
      <c r="A337" s="68">
        <f>332</f>
        <v>332</v>
      </c>
      <c r="B337" s="69">
        <f>EDATE(入力設定!$B$7,A337-1)</f>
        <v>56401</v>
      </c>
      <c r="C337" s="80">
        <f>INDEX(入力設定!$C$15:$C$24,INT((A337-1)/60)+1)</f>
        <v>0.05</v>
      </c>
      <c r="D337" s="70">
        <f t="shared" ca="1" si="127"/>
        <v>6293679.1528389547</v>
      </c>
      <c r="E337" s="70">
        <f t="shared" ca="1" si="128"/>
        <v>49</v>
      </c>
      <c r="F337" s="70">
        <f ca="1">IF(D337+Z337&lt;0.000001,0,IF(D337&lt;0.000001,F336,IF(OR(AE337=1,AND(K336&gt;0,入力設定!$B$8="返済額軽減型",入力設定!$B$11="翌月")),IF(C337=0,D337/MAX(1,E337),D337*(C337/12)/(1-(1+C337/12)^(-MAX(1,E337)))),F336)))</f>
        <v>142266.59803560199</v>
      </c>
      <c r="G337" s="70">
        <f t="shared" ca="1" si="110"/>
        <v>142266.59803560199</v>
      </c>
      <c r="H337" s="70">
        <f t="shared" ca="1" si="111"/>
        <v>26223.663136828982</v>
      </c>
      <c r="I337" s="70">
        <f t="shared" ca="1" si="112"/>
        <v>116042.934898773</v>
      </c>
      <c r="J337" s="70">
        <f>SUMIFS(入力設定!$G$5:$G$24,入力設定!$F$5:$F$24,A337)</f>
        <v>0</v>
      </c>
      <c r="K337" s="70">
        <f t="shared" ca="1" si="113"/>
        <v>0</v>
      </c>
      <c r="L337" s="70">
        <f ca="1">IF(K337&gt;0,入力設定!$B$9,0)</f>
        <v>0</v>
      </c>
      <c r="M337" s="70">
        <f t="shared" ca="1" si="114"/>
        <v>6177636.2179401815</v>
      </c>
      <c r="N337" s="70">
        <f ca="1">IF(M337+AA337&lt;0.000001,0,IF(AND(K337&gt;0,入力設定!$B$8="期間短縮型",AA337&lt;0.000001,F337&gt;M337*C337/12),MAX(1,MIN(E337-1,IF(C337=0,ROUNDUP(M337/F337,0),ROUNDUP(-LN(1-M337*(C337/12)/F337)/LN(1+C337/12),0)))),MAX(1,E337-1)))</f>
        <v>48</v>
      </c>
      <c r="O337" s="70">
        <f t="shared" ca="1" si="115"/>
        <v>142266.59803560199</v>
      </c>
      <c r="P337" s="70">
        <f t="shared" ca="1" si="129"/>
        <v>11152457.381316919</v>
      </c>
      <c r="Q337" s="70">
        <f ca="1">IF(OR(A337&gt;入力設定!$B$6*12,P337+AC337&lt;0.000001),0,IF(P337&lt;0.000001,Q336,IF(AE337=1,IF(C337=0,P337/MAX(1,入力設定!$B$6*12-A337+1),P337*(C337/12)/(1-(1+C337/12)^(-MAX(1,入力設定!$B$6*12-A337+1)))),Q336)))</f>
        <v>150233.43899513065</v>
      </c>
      <c r="R337" s="70">
        <f ca="1">IF(P337+AC337&lt;0.000001,0,IF(A337=入力設定!$B$6*12,P337+AB337+AC337,MIN(Q337,P337+AB337+AC337)))</f>
        <v>150233.43899513065</v>
      </c>
      <c r="S337" s="70">
        <f t="shared" ca="1" si="116"/>
        <v>46468.572422153833</v>
      </c>
      <c r="T337" s="70">
        <f t="shared" ca="1" si="117"/>
        <v>103764.86657297681</v>
      </c>
      <c r="U337" s="70">
        <f t="shared" ca="1" si="118"/>
        <v>11048692.514743943</v>
      </c>
      <c r="V337" s="70">
        <f t="shared" ca="1" si="119"/>
        <v>0</v>
      </c>
      <c r="W337" s="70">
        <f t="shared" ca="1" si="120"/>
        <v>0</v>
      </c>
      <c r="X337" s="70">
        <f t="shared" ca="1" si="121"/>
        <v>0</v>
      </c>
      <c r="Y337" s="71">
        <f t="shared" ca="1" si="122"/>
        <v>26223.663136828982</v>
      </c>
      <c r="Z337" s="71">
        <f t="shared" ca="1" si="130"/>
        <v>0</v>
      </c>
      <c r="AA337" s="71">
        <f t="shared" ca="1" si="123"/>
        <v>0</v>
      </c>
      <c r="AB337" s="71">
        <f t="shared" ca="1" si="124"/>
        <v>46468.572422153833</v>
      </c>
      <c r="AC337" s="71">
        <f t="shared" ca="1" si="131"/>
        <v>0</v>
      </c>
      <c r="AD337" s="71">
        <f t="shared" ca="1" si="125"/>
        <v>0</v>
      </c>
      <c r="AE337" s="72">
        <f t="shared" si="126"/>
        <v>0</v>
      </c>
      <c r="AF337" s="73">
        <f>IF(A337&gt;入力設定!$B$6*12,0,IF(AND(ISNUMBER(C337),C337&gt;=0,C337&lt;=1),0,1))</f>
        <v>0</v>
      </c>
    </row>
    <row r="338" spans="1:32" ht="21" customHeight="1">
      <c r="A338" s="68">
        <f>333</f>
        <v>333</v>
      </c>
      <c r="B338" s="69">
        <f>EDATE(入力設定!$B$7,A338-1)</f>
        <v>56431</v>
      </c>
      <c r="C338" s="80">
        <f>INDEX(入力設定!$C$15:$C$24,INT((A338-1)/60)+1)</f>
        <v>0.05</v>
      </c>
      <c r="D338" s="70">
        <f t="shared" ca="1" si="127"/>
        <v>6177636.2179401815</v>
      </c>
      <c r="E338" s="70">
        <f t="shared" ca="1" si="128"/>
        <v>48</v>
      </c>
      <c r="F338" s="70">
        <f ca="1">IF(D338+Z338&lt;0.000001,0,IF(D338&lt;0.000001,F337,IF(OR(AE338=1,AND(K337&gt;0,入力設定!$B$8="返済額軽減型",入力設定!$B$11="翌月")),IF(C338=0,D338/MAX(1,E338),D338*(C338/12)/(1-(1+C338/12)^(-MAX(1,E338)))),F337)))</f>
        <v>142266.59803560199</v>
      </c>
      <c r="G338" s="70">
        <f t="shared" ca="1" si="110"/>
        <v>142266.59803560199</v>
      </c>
      <c r="H338" s="70">
        <f t="shared" ca="1" si="111"/>
        <v>25740.150908084091</v>
      </c>
      <c r="I338" s="70">
        <f t="shared" ca="1" si="112"/>
        <v>116526.44712751789</v>
      </c>
      <c r="J338" s="70">
        <f>SUMIFS(入力設定!$G$5:$G$24,入力設定!$F$5:$F$24,A338)</f>
        <v>0</v>
      </c>
      <c r="K338" s="70">
        <f t="shared" ca="1" si="113"/>
        <v>0</v>
      </c>
      <c r="L338" s="70">
        <f ca="1">IF(K338&gt;0,入力設定!$B$9,0)</f>
        <v>0</v>
      </c>
      <c r="M338" s="70">
        <f t="shared" ca="1" si="114"/>
        <v>6061109.7708126632</v>
      </c>
      <c r="N338" s="70">
        <f ca="1">IF(M338+AA338&lt;0.000001,0,IF(AND(K338&gt;0,入力設定!$B$8="期間短縮型",AA338&lt;0.000001,F338&gt;M338*C338/12),MAX(1,MIN(E338-1,IF(C338=0,ROUNDUP(M338/F338,0),ROUNDUP(-LN(1-M338*(C338/12)/F338)/LN(1+C338/12),0)))),MAX(1,E338-1)))</f>
        <v>47</v>
      </c>
      <c r="O338" s="70">
        <f t="shared" ca="1" si="115"/>
        <v>142266.59803560199</v>
      </c>
      <c r="P338" s="70">
        <f t="shared" ca="1" si="129"/>
        <v>11048692.514743943</v>
      </c>
      <c r="Q338" s="70">
        <f ca="1">IF(OR(A338&gt;入力設定!$B$6*12,P338+AC338&lt;0.000001),0,IF(P338&lt;0.000001,Q337,IF(AE338=1,IF(C338=0,P338/MAX(1,入力設定!$B$6*12-A338+1),P338*(C338/12)/(1-(1+C338/12)^(-MAX(1,入力設定!$B$6*12-A338+1)))),Q337)))</f>
        <v>150233.43899513065</v>
      </c>
      <c r="R338" s="70">
        <f ca="1">IF(P338+AC338&lt;0.000001,0,IF(A338=入力設定!$B$6*12,P338+AB338+AC338,MIN(Q338,P338+AB338+AC338)))</f>
        <v>150233.43899513065</v>
      </c>
      <c r="S338" s="70">
        <f t="shared" ca="1" si="116"/>
        <v>46036.218811433093</v>
      </c>
      <c r="T338" s="70">
        <f t="shared" ca="1" si="117"/>
        <v>104197.22018369756</v>
      </c>
      <c r="U338" s="70">
        <f t="shared" ca="1" si="118"/>
        <v>10944495.294560244</v>
      </c>
      <c r="V338" s="70">
        <f t="shared" ca="1" si="119"/>
        <v>0</v>
      </c>
      <c r="W338" s="70">
        <f t="shared" ca="1" si="120"/>
        <v>0</v>
      </c>
      <c r="X338" s="70">
        <f t="shared" ca="1" si="121"/>
        <v>0</v>
      </c>
      <c r="Y338" s="71">
        <f t="shared" ca="1" si="122"/>
        <v>25740.150908084091</v>
      </c>
      <c r="Z338" s="71">
        <f t="shared" ca="1" si="130"/>
        <v>0</v>
      </c>
      <c r="AA338" s="71">
        <f t="shared" ca="1" si="123"/>
        <v>0</v>
      </c>
      <c r="AB338" s="71">
        <f t="shared" ca="1" si="124"/>
        <v>46036.218811433093</v>
      </c>
      <c r="AC338" s="71">
        <f t="shared" ca="1" si="131"/>
        <v>0</v>
      </c>
      <c r="AD338" s="71">
        <f t="shared" ca="1" si="125"/>
        <v>0</v>
      </c>
      <c r="AE338" s="72">
        <f t="shared" si="126"/>
        <v>0</v>
      </c>
      <c r="AF338" s="73">
        <f>IF(A338&gt;入力設定!$B$6*12,0,IF(AND(ISNUMBER(C338),C338&gt;=0,C338&lt;=1),0,1))</f>
        <v>0</v>
      </c>
    </row>
    <row r="339" spans="1:32" ht="21" customHeight="1">
      <c r="A339" s="68">
        <f>334</f>
        <v>334</v>
      </c>
      <c r="B339" s="69">
        <f>EDATE(入力設定!$B$7,A339-1)</f>
        <v>56462</v>
      </c>
      <c r="C339" s="80">
        <f>INDEX(入力設定!$C$15:$C$24,INT((A339-1)/60)+1)</f>
        <v>0.05</v>
      </c>
      <c r="D339" s="70">
        <f t="shared" ca="1" si="127"/>
        <v>6061109.7708126632</v>
      </c>
      <c r="E339" s="70">
        <f t="shared" ca="1" si="128"/>
        <v>47</v>
      </c>
      <c r="F339" s="70">
        <f ca="1">IF(D339+Z339&lt;0.000001,0,IF(D339&lt;0.000001,F338,IF(OR(AE339=1,AND(K338&gt;0,入力設定!$B$8="返済額軽減型",入力設定!$B$11="翌月")),IF(C339=0,D339/MAX(1,E339),D339*(C339/12)/(1-(1+C339/12)^(-MAX(1,E339)))),F338)))</f>
        <v>142266.59803560199</v>
      </c>
      <c r="G339" s="70">
        <f t="shared" ca="1" si="110"/>
        <v>142266.59803560199</v>
      </c>
      <c r="H339" s="70">
        <f t="shared" ca="1" si="111"/>
        <v>25254.624045052766</v>
      </c>
      <c r="I339" s="70">
        <f t="shared" ca="1" si="112"/>
        <v>117011.97399054922</v>
      </c>
      <c r="J339" s="70">
        <f>SUMIFS(入力設定!$G$5:$G$24,入力設定!$F$5:$F$24,A339)</f>
        <v>0</v>
      </c>
      <c r="K339" s="70">
        <f t="shared" ca="1" si="113"/>
        <v>0</v>
      </c>
      <c r="L339" s="70">
        <f ca="1">IF(K339&gt;0,入力設定!$B$9,0)</f>
        <v>0</v>
      </c>
      <c r="M339" s="70">
        <f t="shared" ca="1" si="114"/>
        <v>5944097.7968221139</v>
      </c>
      <c r="N339" s="70">
        <f ca="1">IF(M339+AA339&lt;0.000001,0,IF(AND(K339&gt;0,入力設定!$B$8="期間短縮型",AA339&lt;0.000001,F339&gt;M339*C339/12),MAX(1,MIN(E339-1,IF(C339=0,ROUNDUP(M339/F339,0),ROUNDUP(-LN(1-M339*(C339/12)/F339)/LN(1+C339/12),0)))),MAX(1,E339-1)))</f>
        <v>46</v>
      </c>
      <c r="O339" s="70">
        <f t="shared" ca="1" si="115"/>
        <v>142266.59803560199</v>
      </c>
      <c r="P339" s="70">
        <f t="shared" ca="1" si="129"/>
        <v>10944495.294560244</v>
      </c>
      <c r="Q339" s="70">
        <f ca="1">IF(OR(A339&gt;入力設定!$B$6*12,P339+AC339&lt;0.000001),0,IF(P339&lt;0.000001,Q338,IF(AE339=1,IF(C339=0,P339/MAX(1,入力設定!$B$6*12-A339+1),P339*(C339/12)/(1-(1+C339/12)^(-MAX(1,入力設定!$B$6*12-A339+1)))),Q338)))</f>
        <v>150233.43899513065</v>
      </c>
      <c r="R339" s="70">
        <f ca="1">IF(P339+AC339&lt;0.000001,0,IF(A339=入力設定!$B$6*12,P339+AB339+AC339,MIN(Q339,P339+AB339+AC339)))</f>
        <v>150233.43899513065</v>
      </c>
      <c r="S339" s="70">
        <f t="shared" ca="1" si="116"/>
        <v>45602.063727334353</v>
      </c>
      <c r="T339" s="70">
        <f t="shared" ca="1" si="117"/>
        <v>104631.37526779631</v>
      </c>
      <c r="U339" s="70">
        <f t="shared" ca="1" si="118"/>
        <v>10839863.919292448</v>
      </c>
      <c r="V339" s="70">
        <f t="shared" ca="1" si="119"/>
        <v>0</v>
      </c>
      <c r="W339" s="70">
        <f t="shared" ca="1" si="120"/>
        <v>0</v>
      </c>
      <c r="X339" s="70">
        <f t="shared" ca="1" si="121"/>
        <v>0</v>
      </c>
      <c r="Y339" s="71">
        <f t="shared" ca="1" si="122"/>
        <v>25254.624045052766</v>
      </c>
      <c r="Z339" s="71">
        <f t="shared" ca="1" si="130"/>
        <v>0</v>
      </c>
      <c r="AA339" s="71">
        <f t="shared" ca="1" si="123"/>
        <v>0</v>
      </c>
      <c r="AB339" s="71">
        <f t="shared" ca="1" si="124"/>
        <v>45602.063727334353</v>
      </c>
      <c r="AC339" s="71">
        <f t="shared" ca="1" si="131"/>
        <v>0</v>
      </c>
      <c r="AD339" s="71">
        <f t="shared" ca="1" si="125"/>
        <v>0</v>
      </c>
      <c r="AE339" s="72">
        <f t="shared" si="126"/>
        <v>0</v>
      </c>
      <c r="AF339" s="73">
        <f>IF(A339&gt;入力設定!$B$6*12,0,IF(AND(ISNUMBER(C339),C339&gt;=0,C339&lt;=1),0,1))</f>
        <v>0</v>
      </c>
    </row>
    <row r="340" spans="1:32" ht="21" customHeight="1">
      <c r="A340" s="68">
        <f>335</f>
        <v>335</v>
      </c>
      <c r="B340" s="69">
        <f>EDATE(入力設定!$B$7,A340-1)</f>
        <v>56493</v>
      </c>
      <c r="C340" s="80">
        <f>INDEX(入力設定!$C$15:$C$24,INT((A340-1)/60)+1)</f>
        <v>0.05</v>
      </c>
      <c r="D340" s="70">
        <f t="shared" ca="1" si="127"/>
        <v>5944097.7968221139</v>
      </c>
      <c r="E340" s="70">
        <f t="shared" ca="1" si="128"/>
        <v>46</v>
      </c>
      <c r="F340" s="70">
        <f ca="1">IF(D340+Z340&lt;0.000001,0,IF(D340&lt;0.000001,F339,IF(OR(AE340=1,AND(K339&gt;0,入力設定!$B$8="返済額軽減型",入力設定!$B$11="翌月")),IF(C340=0,D340/MAX(1,E340),D340*(C340/12)/(1-(1+C340/12)^(-MAX(1,E340)))),F339)))</f>
        <v>142266.59803560199</v>
      </c>
      <c r="G340" s="70">
        <f t="shared" ca="1" si="110"/>
        <v>142266.59803560199</v>
      </c>
      <c r="H340" s="70">
        <f t="shared" ca="1" si="111"/>
        <v>24767.074153425478</v>
      </c>
      <c r="I340" s="70">
        <f t="shared" ca="1" si="112"/>
        <v>117499.52388217651</v>
      </c>
      <c r="J340" s="70">
        <f>SUMIFS(入力設定!$G$5:$G$24,入力設定!$F$5:$F$24,A340)</f>
        <v>0</v>
      </c>
      <c r="K340" s="70">
        <f t="shared" ca="1" si="113"/>
        <v>0</v>
      </c>
      <c r="L340" s="70">
        <f ca="1">IF(K340&gt;0,入力設定!$B$9,0)</f>
        <v>0</v>
      </c>
      <c r="M340" s="70">
        <f t="shared" ca="1" si="114"/>
        <v>5826598.2729399372</v>
      </c>
      <c r="N340" s="70">
        <f ca="1">IF(M340+AA340&lt;0.000001,0,IF(AND(K340&gt;0,入力設定!$B$8="期間短縮型",AA340&lt;0.000001,F340&gt;M340*C340/12),MAX(1,MIN(E340-1,IF(C340=0,ROUNDUP(M340/F340,0),ROUNDUP(-LN(1-M340*(C340/12)/F340)/LN(1+C340/12),0)))),MAX(1,E340-1)))</f>
        <v>45</v>
      </c>
      <c r="O340" s="70">
        <f t="shared" ca="1" si="115"/>
        <v>142266.59803560199</v>
      </c>
      <c r="P340" s="70">
        <f t="shared" ca="1" si="129"/>
        <v>10839863.919292448</v>
      </c>
      <c r="Q340" s="70">
        <f ca="1">IF(OR(A340&gt;入力設定!$B$6*12,P340+AC340&lt;0.000001),0,IF(P340&lt;0.000001,Q339,IF(AE340=1,IF(C340=0,P340/MAX(1,入力設定!$B$6*12-A340+1),P340*(C340/12)/(1-(1+C340/12)^(-MAX(1,入力設定!$B$6*12-A340+1)))),Q339)))</f>
        <v>150233.43899513065</v>
      </c>
      <c r="R340" s="70">
        <f ca="1">IF(P340+AC340&lt;0.000001,0,IF(A340=入力設定!$B$6*12,P340+AB340+AC340,MIN(Q340,P340+AB340+AC340)))</f>
        <v>150233.43899513065</v>
      </c>
      <c r="S340" s="70">
        <f t="shared" ca="1" si="116"/>
        <v>45166.099663718538</v>
      </c>
      <c r="T340" s="70">
        <f t="shared" ca="1" si="117"/>
        <v>105067.33933141211</v>
      </c>
      <c r="U340" s="70">
        <f t="shared" ca="1" si="118"/>
        <v>10734796.579961035</v>
      </c>
      <c r="V340" s="70">
        <f t="shared" ca="1" si="119"/>
        <v>0</v>
      </c>
      <c r="W340" s="70">
        <f t="shared" ca="1" si="120"/>
        <v>0</v>
      </c>
      <c r="X340" s="70">
        <f t="shared" ca="1" si="121"/>
        <v>0</v>
      </c>
      <c r="Y340" s="71">
        <f t="shared" ca="1" si="122"/>
        <v>24767.074153425478</v>
      </c>
      <c r="Z340" s="71">
        <f t="shared" ca="1" si="130"/>
        <v>0</v>
      </c>
      <c r="AA340" s="71">
        <f t="shared" ca="1" si="123"/>
        <v>0</v>
      </c>
      <c r="AB340" s="71">
        <f t="shared" ca="1" si="124"/>
        <v>45166.099663718538</v>
      </c>
      <c r="AC340" s="71">
        <f t="shared" ca="1" si="131"/>
        <v>0</v>
      </c>
      <c r="AD340" s="71">
        <f t="shared" ca="1" si="125"/>
        <v>0</v>
      </c>
      <c r="AE340" s="72">
        <f t="shared" si="126"/>
        <v>0</v>
      </c>
      <c r="AF340" s="73">
        <f>IF(A340&gt;入力設定!$B$6*12,0,IF(AND(ISNUMBER(C340),C340&gt;=0,C340&lt;=1),0,1))</f>
        <v>0</v>
      </c>
    </row>
    <row r="341" spans="1:32" ht="21" customHeight="1">
      <c r="A341" s="68">
        <f>336</f>
        <v>336</v>
      </c>
      <c r="B341" s="69">
        <f>EDATE(入力設定!$B$7,A341-1)</f>
        <v>56523</v>
      </c>
      <c r="C341" s="80">
        <f>INDEX(入力設定!$C$15:$C$24,INT((A341-1)/60)+1)</f>
        <v>0.05</v>
      </c>
      <c r="D341" s="70">
        <f t="shared" ca="1" si="127"/>
        <v>5826598.2729399372</v>
      </c>
      <c r="E341" s="70">
        <f t="shared" ca="1" si="128"/>
        <v>45</v>
      </c>
      <c r="F341" s="70">
        <f ca="1">IF(D341+Z341&lt;0.000001,0,IF(D341&lt;0.000001,F340,IF(OR(AE341=1,AND(K340&gt;0,入力設定!$B$8="返済額軽減型",入力設定!$B$11="翌月")),IF(C341=0,D341/MAX(1,E341),D341*(C341/12)/(1-(1+C341/12)^(-MAX(1,E341)))),F340)))</f>
        <v>142266.59803560199</v>
      </c>
      <c r="G341" s="70">
        <f t="shared" ca="1" si="110"/>
        <v>142266.59803560199</v>
      </c>
      <c r="H341" s="70">
        <f t="shared" ca="1" si="111"/>
        <v>24277.492803916408</v>
      </c>
      <c r="I341" s="70">
        <f t="shared" ca="1" si="112"/>
        <v>117989.10523168558</v>
      </c>
      <c r="J341" s="70">
        <f>SUMIFS(入力設定!$G$5:$G$24,入力設定!$F$5:$F$24,A341)</f>
        <v>0</v>
      </c>
      <c r="K341" s="70">
        <f t="shared" ca="1" si="113"/>
        <v>0</v>
      </c>
      <c r="L341" s="70">
        <f ca="1">IF(K341&gt;0,入力設定!$B$9,0)</f>
        <v>0</v>
      </c>
      <c r="M341" s="70">
        <f t="shared" ca="1" si="114"/>
        <v>5708609.1677082516</v>
      </c>
      <c r="N341" s="70">
        <f ca="1">IF(M341+AA341&lt;0.000001,0,IF(AND(K341&gt;0,入力設定!$B$8="期間短縮型",AA341&lt;0.000001,F341&gt;M341*C341/12),MAX(1,MIN(E341-1,IF(C341=0,ROUNDUP(M341/F341,0),ROUNDUP(-LN(1-M341*(C341/12)/F341)/LN(1+C341/12),0)))),MAX(1,E341-1)))</f>
        <v>44</v>
      </c>
      <c r="O341" s="70">
        <f t="shared" ca="1" si="115"/>
        <v>142266.59803560199</v>
      </c>
      <c r="P341" s="70">
        <f t="shared" ca="1" si="129"/>
        <v>10734796.579961035</v>
      </c>
      <c r="Q341" s="70">
        <f ca="1">IF(OR(A341&gt;入力設定!$B$6*12,P341+AC341&lt;0.000001),0,IF(P341&lt;0.000001,Q340,IF(AE341=1,IF(C341=0,P341/MAX(1,入力設定!$B$6*12-A341+1),P341*(C341/12)/(1-(1+C341/12)^(-MAX(1,入力設定!$B$6*12-A341+1)))),Q340)))</f>
        <v>150233.43899513065</v>
      </c>
      <c r="R341" s="70">
        <f ca="1">IF(P341+AC341&lt;0.000001,0,IF(A341=入力設定!$B$6*12,P341+AB341+AC341,MIN(Q341,P341+AB341+AC341)))</f>
        <v>150233.43899513065</v>
      </c>
      <c r="S341" s="70">
        <f t="shared" ca="1" si="116"/>
        <v>44728.319083170987</v>
      </c>
      <c r="T341" s="70">
        <f t="shared" ca="1" si="117"/>
        <v>105505.11991195966</v>
      </c>
      <c r="U341" s="70">
        <f t="shared" ca="1" si="118"/>
        <v>10629291.460049076</v>
      </c>
      <c r="V341" s="70">
        <f t="shared" ca="1" si="119"/>
        <v>0</v>
      </c>
      <c r="W341" s="70">
        <f t="shared" ca="1" si="120"/>
        <v>0</v>
      </c>
      <c r="X341" s="70">
        <f t="shared" ca="1" si="121"/>
        <v>0</v>
      </c>
      <c r="Y341" s="71">
        <f t="shared" ca="1" si="122"/>
        <v>24277.492803916408</v>
      </c>
      <c r="Z341" s="71">
        <f t="shared" ca="1" si="130"/>
        <v>0</v>
      </c>
      <c r="AA341" s="71">
        <f t="shared" ca="1" si="123"/>
        <v>0</v>
      </c>
      <c r="AB341" s="71">
        <f t="shared" ca="1" si="124"/>
        <v>44728.319083170987</v>
      </c>
      <c r="AC341" s="71">
        <f t="shared" ca="1" si="131"/>
        <v>0</v>
      </c>
      <c r="AD341" s="71">
        <f t="shared" ca="1" si="125"/>
        <v>0</v>
      </c>
      <c r="AE341" s="72">
        <f t="shared" si="126"/>
        <v>0</v>
      </c>
      <c r="AF341" s="73">
        <f>IF(A341&gt;入力設定!$B$6*12,0,IF(AND(ISNUMBER(C341),C341&gt;=0,C341&lt;=1),0,1))</f>
        <v>0</v>
      </c>
    </row>
    <row r="342" spans="1:32" ht="21" customHeight="1">
      <c r="A342" s="68">
        <f>337</f>
        <v>337</v>
      </c>
      <c r="B342" s="69">
        <f>EDATE(入力設定!$B$7,A342-1)</f>
        <v>56554</v>
      </c>
      <c r="C342" s="80">
        <f>INDEX(入力設定!$C$15:$C$24,INT((A342-1)/60)+1)</f>
        <v>0.05</v>
      </c>
      <c r="D342" s="70">
        <f t="shared" ca="1" si="127"/>
        <v>5708609.1677082516</v>
      </c>
      <c r="E342" s="70">
        <f t="shared" ca="1" si="128"/>
        <v>44</v>
      </c>
      <c r="F342" s="70">
        <f ca="1">IF(D342+Z342&lt;0.000001,0,IF(D342&lt;0.000001,F341,IF(OR(AE342=1,AND(K341&gt;0,入力設定!$B$8="返済額軽減型",入力設定!$B$11="翌月")),IF(C342=0,D342/MAX(1,E342),D342*(C342/12)/(1-(1+C342/12)^(-MAX(1,E342)))),F341)))</f>
        <v>142266.59803560199</v>
      </c>
      <c r="G342" s="70">
        <f t="shared" ca="1" si="110"/>
        <v>142266.59803560199</v>
      </c>
      <c r="H342" s="70">
        <f t="shared" ca="1" si="111"/>
        <v>23785.871532117715</v>
      </c>
      <c r="I342" s="70">
        <f t="shared" ca="1" si="112"/>
        <v>118480.72650348427</v>
      </c>
      <c r="J342" s="70">
        <f>SUMIFS(入力設定!$G$5:$G$24,入力設定!$F$5:$F$24,A342)</f>
        <v>0</v>
      </c>
      <c r="K342" s="70">
        <f t="shared" ca="1" si="113"/>
        <v>0</v>
      </c>
      <c r="L342" s="70">
        <f ca="1">IF(K342&gt;0,入力設定!$B$9,0)</f>
        <v>0</v>
      </c>
      <c r="M342" s="70">
        <f t="shared" ca="1" si="114"/>
        <v>5590128.4412047677</v>
      </c>
      <c r="N342" s="70">
        <f ca="1">IF(M342+AA342&lt;0.000001,0,IF(AND(K342&gt;0,入力設定!$B$8="期間短縮型",AA342&lt;0.000001,F342&gt;M342*C342/12),MAX(1,MIN(E342-1,IF(C342=0,ROUNDUP(M342/F342,0),ROUNDUP(-LN(1-M342*(C342/12)/F342)/LN(1+C342/12),0)))),MAX(1,E342-1)))</f>
        <v>43</v>
      </c>
      <c r="O342" s="70">
        <f t="shared" ca="1" si="115"/>
        <v>142266.59803560199</v>
      </c>
      <c r="P342" s="70">
        <f t="shared" ca="1" si="129"/>
        <v>10629291.460049076</v>
      </c>
      <c r="Q342" s="70">
        <f ca="1">IF(OR(A342&gt;入力設定!$B$6*12,P342+AC342&lt;0.000001),0,IF(P342&lt;0.000001,Q341,IF(AE342=1,IF(C342=0,P342/MAX(1,入力設定!$B$6*12-A342+1),P342*(C342/12)/(1-(1+C342/12)^(-MAX(1,入力設定!$B$6*12-A342+1)))),Q341)))</f>
        <v>150233.43899513065</v>
      </c>
      <c r="R342" s="70">
        <f ca="1">IF(P342+AC342&lt;0.000001,0,IF(A342=入力設定!$B$6*12,P342+AB342+AC342,MIN(Q342,P342+AB342+AC342)))</f>
        <v>150233.43899513065</v>
      </c>
      <c r="S342" s="70">
        <f t="shared" ca="1" si="116"/>
        <v>44288.714416871146</v>
      </c>
      <c r="T342" s="70">
        <f t="shared" ca="1" si="117"/>
        <v>105944.72457825951</v>
      </c>
      <c r="U342" s="70">
        <f t="shared" ca="1" si="118"/>
        <v>10523346.735470816</v>
      </c>
      <c r="V342" s="70">
        <f t="shared" ca="1" si="119"/>
        <v>0</v>
      </c>
      <c r="W342" s="70">
        <f t="shared" ca="1" si="120"/>
        <v>0</v>
      </c>
      <c r="X342" s="70">
        <f t="shared" ca="1" si="121"/>
        <v>0</v>
      </c>
      <c r="Y342" s="71">
        <f t="shared" ca="1" si="122"/>
        <v>23785.871532117715</v>
      </c>
      <c r="Z342" s="71">
        <f t="shared" ca="1" si="130"/>
        <v>0</v>
      </c>
      <c r="AA342" s="71">
        <f t="shared" ca="1" si="123"/>
        <v>0</v>
      </c>
      <c r="AB342" s="71">
        <f t="shared" ca="1" si="124"/>
        <v>44288.714416871146</v>
      </c>
      <c r="AC342" s="71">
        <f t="shared" ca="1" si="131"/>
        <v>0</v>
      </c>
      <c r="AD342" s="71">
        <f t="shared" ca="1" si="125"/>
        <v>0</v>
      </c>
      <c r="AE342" s="72">
        <f t="shared" si="126"/>
        <v>0</v>
      </c>
      <c r="AF342" s="73">
        <f>IF(A342&gt;入力設定!$B$6*12,0,IF(AND(ISNUMBER(C342),C342&gt;=0,C342&lt;=1),0,1))</f>
        <v>0</v>
      </c>
    </row>
    <row r="343" spans="1:32" ht="21" customHeight="1">
      <c r="A343" s="68">
        <f>338</f>
        <v>338</v>
      </c>
      <c r="B343" s="69">
        <f>EDATE(入力設定!$B$7,A343-1)</f>
        <v>56584</v>
      </c>
      <c r="C343" s="80">
        <f>INDEX(入力設定!$C$15:$C$24,INT((A343-1)/60)+1)</f>
        <v>0.05</v>
      </c>
      <c r="D343" s="70">
        <f t="shared" ca="1" si="127"/>
        <v>5590128.4412047677</v>
      </c>
      <c r="E343" s="70">
        <f t="shared" ca="1" si="128"/>
        <v>43</v>
      </c>
      <c r="F343" s="70">
        <f ca="1">IF(D343+Z343&lt;0.000001,0,IF(D343&lt;0.000001,F342,IF(OR(AE343=1,AND(K342&gt;0,入力設定!$B$8="返済額軽減型",入力設定!$B$11="翌月")),IF(C343=0,D343/MAX(1,E343),D343*(C343/12)/(1-(1+C343/12)^(-MAX(1,E343)))),F342)))</f>
        <v>142266.59803560199</v>
      </c>
      <c r="G343" s="70">
        <f t="shared" ca="1" si="110"/>
        <v>142266.59803560199</v>
      </c>
      <c r="H343" s="70">
        <f t="shared" ca="1" si="111"/>
        <v>23292.201838353198</v>
      </c>
      <c r="I343" s="70">
        <f t="shared" ca="1" si="112"/>
        <v>118974.39619724879</v>
      </c>
      <c r="J343" s="70">
        <f>SUMIFS(入力設定!$G$5:$G$24,入力設定!$F$5:$F$24,A343)</f>
        <v>0</v>
      </c>
      <c r="K343" s="70">
        <f t="shared" ca="1" si="113"/>
        <v>0</v>
      </c>
      <c r="L343" s="70">
        <f ca="1">IF(K343&gt;0,入力設定!$B$9,0)</f>
        <v>0</v>
      </c>
      <c r="M343" s="70">
        <f t="shared" ca="1" si="114"/>
        <v>5471154.0450075185</v>
      </c>
      <c r="N343" s="70">
        <f ca="1">IF(M343+AA343&lt;0.000001,0,IF(AND(K343&gt;0,入力設定!$B$8="期間短縮型",AA343&lt;0.000001,F343&gt;M343*C343/12),MAX(1,MIN(E343-1,IF(C343=0,ROUNDUP(M343/F343,0),ROUNDUP(-LN(1-M343*(C343/12)/F343)/LN(1+C343/12),0)))),MAX(1,E343-1)))</f>
        <v>42</v>
      </c>
      <c r="O343" s="70">
        <f t="shared" ca="1" si="115"/>
        <v>142266.59803560199</v>
      </c>
      <c r="P343" s="70">
        <f t="shared" ca="1" si="129"/>
        <v>10523346.735470816</v>
      </c>
      <c r="Q343" s="70">
        <f ca="1">IF(OR(A343&gt;入力設定!$B$6*12,P343+AC343&lt;0.000001),0,IF(P343&lt;0.000001,Q342,IF(AE343=1,IF(C343=0,P343/MAX(1,入力設定!$B$6*12-A343+1),P343*(C343/12)/(1-(1+C343/12)^(-MAX(1,入力設定!$B$6*12-A343+1)))),Q342)))</f>
        <v>150233.43899513065</v>
      </c>
      <c r="R343" s="70">
        <f ca="1">IF(P343+AC343&lt;0.000001,0,IF(A343=入力設定!$B$6*12,P343+AB343+AC343,MIN(Q343,P343+AB343+AC343)))</f>
        <v>150233.43899513065</v>
      </c>
      <c r="S343" s="70">
        <f t="shared" ca="1" si="116"/>
        <v>43847.278064461738</v>
      </c>
      <c r="T343" s="70">
        <f t="shared" ca="1" si="117"/>
        <v>106386.16093066891</v>
      </c>
      <c r="U343" s="70">
        <f t="shared" ca="1" si="118"/>
        <v>10416960.574540148</v>
      </c>
      <c r="V343" s="70">
        <f t="shared" ca="1" si="119"/>
        <v>0</v>
      </c>
      <c r="W343" s="70">
        <f t="shared" ca="1" si="120"/>
        <v>0</v>
      </c>
      <c r="X343" s="70">
        <f t="shared" ca="1" si="121"/>
        <v>0</v>
      </c>
      <c r="Y343" s="71">
        <f t="shared" ca="1" si="122"/>
        <v>23292.201838353198</v>
      </c>
      <c r="Z343" s="71">
        <f t="shared" ca="1" si="130"/>
        <v>0</v>
      </c>
      <c r="AA343" s="71">
        <f t="shared" ca="1" si="123"/>
        <v>0</v>
      </c>
      <c r="AB343" s="71">
        <f t="shared" ca="1" si="124"/>
        <v>43847.278064461738</v>
      </c>
      <c r="AC343" s="71">
        <f t="shared" ca="1" si="131"/>
        <v>0</v>
      </c>
      <c r="AD343" s="71">
        <f t="shared" ca="1" si="125"/>
        <v>0</v>
      </c>
      <c r="AE343" s="72">
        <f t="shared" si="126"/>
        <v>0</v>
      </c>
      <c r="AF343" s="73">
        <f>IF(A343&gt;入力設定!$B$6*12,0,IF(AND(ISNUMBER(C343),C343&gt;=0,C343&lt;=1),0,1))</f>
        <v>0</v>
      </c>
    </row>
    <row r="344" spans="1:32" ht="21" customHeight="1">
      <c r="A344" s="68">
        <f>339</f>
        <v>339</v>
      </c>
      <c r="B344" s="69">
        <f>EDATE(入力設定!$B$7,A344-1)</f>
        <v>56615</v>
      </c>
      <c r="C344" s="80">
        <f>INDEX(入力設定!$C$15:$C$24,INT((A344-1)/60)+1)</f>
        <v>0.05</v>
      </c>
      <c r="D344" s="70">
        <f t="shared" ca="1" si="127"/>
        <v>5471154.0450075185</v>
      </c>
      <c r="E344" s="70">
        <f t="shared" ca="1" si="128"/>
        <v>42</v>
      </c>
      <c r="F344" s="70">
        <f ca="1">IF(D344+Z344&lt;0.000001,0,IF(D344&lt;0.000001,F343,IF(OR(AE344=1,AND(K343&gt;0,入力設定!$B$8="返済額軽減型",入力設定!$B$11="翌月")),IF(C344=0,D344/MAX(1,E344),D344*(C344/12)/(1-(1+C344/12)^(-MAX(1,E344)))),F343)))</f>
        <v>142266.59803560199</v>
      </c>
      <c r="G344" s="70">
        <f t="shared" ca="1" si="110"/>
        <v>142266.59803560199</v>
      </c>
      <c r="H344" s="70">
        <f t="shared" ca="1" si="111"/>
        <v>22796.475187531327</v>
      </c>
      <c r="I344" s="70">
        <f t="shared" ca="1" si="112"/>
        <v>119470.12284807066</v>
      </c>
      <c r="J344" s="70">
        <f>SUMIFS(入力設定!$G$5:$G$24,入力設定!$F$5:$F$24,A344)</f>
        <v>0</v>
      </c>
      <c r="K344" s="70">
        <f t="shared" ca="1" si="113"/>
        <v>0</v>
      </c>
      <c r="L344" s="70">
        <f ca="1">IF(K344&gt;0,入力設定!$B$9,0)</f>
        <v>0</v>
      </c>
      <c r="M344" s="70">
        <f t="shared" ca="1" si="114"/>
        <v>5351683.9221594483</v>
      </c>
      <c r="N344" s="70">
        <f ca="1">IF(M344+AA344&lt;0.000001,0,IF(AND(K344&gt;0,入力設定!$B$8="期間短縮型",AA344&lt;0.000001,F344&gt;M344*C344/12),MAX(1,MIN(E344-1,IF(C344=0,ROUNDUP(M344/F344,0),ROUNDUP(-LN(1-M344*(C344/12)/F344)/LN(1+C344/12),0)))),MAX(1,E344-1)))</f>
        <v>41</v>
      </c>
      <c r="O344" s="70">
        <f t="shared" ca="1" si="115"/>
        <v>142266.59803560199</v>
      </c>
      <c r="P344" s="70">
        <f t="shared" ca="1" si="129"/>
        <v>10416960.574540148</v>
      </c>
      <c r="Q344" s="70">
        <f ca="1">IF(OR(A344&gt;入力設定!$B$6*12,P344+AC344&lt;0.000001),0,IF(P344&lt;0.000001,Q343,IF(AE344=1,IF(C344=0,P344/MAX(1,入力設定!$B$6*12-A344+1),P344*(C344/12)/(1-(1+C344/12)^(-MAX(1,入力設定!$B$6*12-A344+1)))),Q343)))</f>
        <v>150233.43899513065</v>
      </c>
      <c r="R344" s="70">
        <f ca="1">IF(P344+AC344&lt;0.000001,0,IF(A344=入力設定!$B$6*12,P344+AB344+AC344,MIN(Q344,P344+AB344+AC344)))</f>
        <v>150233.43899513065</v>
      </c>
      <c r="S344" s="70">
        <f t="shared" ca="1" si="116"/>
        <v>43404.002393917282</v>
      </c>
      <c r="T344" s="70">
        <f t="shared" ca="1" si="117"/>
        <v>106829.43660121337</v>
      </c>
      <c r="U344" s="70">
        <f t="shared" ca="1" si="118"/>
        <v>10310131.137938933</v>
      </c>
      <c r="V344" s="70">
        <f t="shared" ca="1" si="119"/>
        <v>0</v>
      </c>
      <c r="W344" s="70">
        <f t="shared" ca="1" si="120"/>
        <v>0</v>
      </c>
      <c r="X344" s="70">
        <f t="shared" ca="1" si="121"/>
        <v>0</v>
      </c>
      <c r="Y344" s="71">
        <f t="shared" ca="1" si="122"/>
        <v>22796.475187531327</v>
      </c>
      <c r="Z344" s="71">
        <f t="shared" ca="1" si="130"/>
        <v>0</v>
      </c>
      <c r="AA344" s="71">
        <f t="shared" ca="1" si="123"/>
        <v>0</v>
      </c>
      <c r="AB344" s="71">
        <f t="shared" ca="1" si="124"/>
        <v>43404.002393917282</v>
      </c>
      <c r="AC344" s="71">
        <f t="shared" ca="1" si="131"/>
        <v>0</v>
      </c>
      <c r="AD344" s="71">
        <f t="shared" ca="1" si="125"/>
        <v>0</v>
      </c>
      <c r="AE344" s="72">
        <f t="shared" si="126"/>
        <v>0</v>
      </c>
      <c r="AF344" s="73">
        <f>IF(A344&gt;入力設定!$B$6*12,0,IF(AND(ISNUMBER(C344),C344&gt;=0,C344&lt;=1),0,1))</f>
        <v>0</v>
      </c>
    </row>
    <row r="345" spans="1:32" ht="21" customHeight="1">
      <c r="A345" s="68">
        <f>340</f>
        <v>340</v>
      </c>
      <c r="B345" s="69">
        <f>EDATE(入力設定!$B$7,A345-1)</f>
        <v>56646</v>
      </c>
      <c r="C345" s="80">
        <f>INDEX(入力設定!$C$15:$C$24,INT((A345-1)/60)+1)</f>
        <v>0.05</v>
      </c>
      <c r="D345" s="70">
        <f t="shared" ca="1" si="127"/>
        <v>5351683.9221594483</v>
      </c>
      <c r="E345" s="70">
        <f t="shared" ca="1" si="128"/>
        <v>41</v>
      </c>
      <c r="F345" s="70">
        <f ca="1">IF(D345+Z345&lt;0.000001,0,IF(D345&lt;0.000001,F344,IF(OR(AE345=1,AND(K344&gt;0,入力設定!$B$8="返済額軽減型",入力設定!$B$11="翌月")),IF(C345=0,D345/MAX(1,E345),D345*(C345/12)/(1-(1+C345/12)^(-MAX(1,E345)))),F344)))</f>
        <v>142266.59803560199</v>
      </c>
      <c r="G345" s="70">
        <f t="shared" ca="1" si="110"/>
        <v>142266.59803560199</v>
      </c>
      <c r="H345" s="70">
        <f t="shared" ca="1" si="111"/>
        <v>22298.683008997701</v>
      </c>
      <c r="I345" s="70">
        <f t="shared" ca="1" si="112"/>
        <v>119967.91502660429</v>
      </c>
      <c r="J345" s="70">
        <f>SUMIFS(入力設定!$G$5:$G$24,入力設定!$F$5:$F$24,A345)</f>
        <v>0</v>
      </c>
      <c r="K345" s="70">
        <f t="shared" ca="1" si="113"/>
        <v>0</v>
      </c>
      <c r="L345" s="70">
        <f ca="1">IF(K345&gt;0,入力設定!$B$9,0)</f>
        <v>0</v>
      </c>
      <c r="M345" s="70">
        <f t="shared" ca="1" si="114"/>
        <v>5231716.0071328441</v>
      </c>
      <c r="N345" s="70">
        <f ca="1">IF(M345+AA345&lt;0.000001,0,IF(AND(K345&gt;0,入力設定!$B$8="期間短縮型",AA345&lt;0.000001,F345&gt;M345*C345/12),MAX(1,MIN(E345-1,IF(C345=0,ROUNDUP(M345/F345,0),ROUNDUP(-LN(1-M345*(C345/12)/F345)/LN(1+C345/12),0)))),MAX(1,E345-1)))</f>
        <v>40</v>
      </c>
      <c r="O345" s="70">
        <f t="shared" ca="1" si="115"/>
        <v>142266.59803560199</v>
      </c>
      <c r="P345" s="70">
        <f t="shared" ca="1" si="129"/>
        <v>10310131.137938933</v>
      </c>
      <c r="Q345" s="70">
        <f ca="1">IF(OR(A345&gt;入力設定!$B$6*12,P345+AC345&lt;0.000001),0,IF(P345&lt;0.000001,Q344,IF(AE345=1,IF(C345=0,P345/MAX(1,入力設定!$B$6*12-A345+1),P345*(C345/12)/(1-(1+C345/12)^(-MAX(1,入力設定!$B$6*12-A345+1)))),Q344)))</f>
        <v>150233.43899513065</v>
      </c>
      <c r="R345" s="70">
        <f ca="1">IF(P345+AC345&lt;0.000001,0,IF(A345=入力設定!$B$6*12,P345+AB345+AC345,MIN(Q345,P345+AB345+AC345)))</f>
        <v>150233.43899513065</v>
      </c>
      <c r="S345" s="70">
        <f t="shared" ca="1" si="116"/>
        <v>42958.879741412224</v>
      </c>
      <c r="T345" s="70">
        <f t="shared" ca="1" si="117"/>
        <v>107274.55925371843</v>
      </c>
      <c r="U345" s="70">
        <f t="shared" ca="1" si="118"/>
        <v>10202856.578685215</v>
      </c>
      <c r="V345" s="70">
        <f t="shared" ca="1" si="119"/>
        <v>0</v>
      </c>
      <c r="W345" s="70">
        <f t="shared" ca="1" si="120"/>
        <v>0</v>
      </c>
      <c r="X345" s="70">
        <f t="shared" ca="1" si="121"/>
        <v>0</v>
      </c>
      <c r="Y345" s="71">
        <f t="shared" ca="1" si="122"/>
        <v>22298.683008997701</v>
      </c>
      <c r="Z345" s="71">
        <f t="shared" ca="1" si="130"/>
        <v>0</v>
      </c>
      <c r="AA345" s="71">
        <f t="shared" ca="1" si="123"/>
        <v>0</v>
      </c>
      <c r="AB345" s="71">
        <f t="shared" ca="1" si="124"/>
        <v>42958.879741412224</v>
      </c>
      <c r="AC345" s="71">
        <f t="shared" ca="1" si="131"/>
        <v>0</v>
      </c>
      <c r="AD345" s="71">
        <f t="shared" ca="1" si="125"/>
        <v>0</v>
      </c>
      <c r="AE345" s="72">
        <f t="shared" si="126"/>
        <v>0</v>
      </c>
      <c r="AF345" s="73">
        <f>IF(A345&gt;入力設定!$B$6*12,0,IF(AND(ISNUMBER(C345),C345&gt;=0,C345&lt;=1),0,1))</f>
        <v>0</v>
      </c>
    </row>
    <row r="346" spans="1:32" ht="21" customHeight="1">
      <c r="A346" s="68">
        <f>341</f>
        <v>341</v>
      </c>
      <c r="B346" s="69">
        <f>EDATE(入力設定!$B$7,A346-1)</f>
        <v>56674</v>
      </c>
      <c r="C346" s="80">
        <f>INDEX(入力設定!$C$15:$C$24,INT((A346-1)/60)+1)</f>
        <v>0.05</v>
      </c>
      <c r="D346" s="70">
        <f t="shared" ca="1" si="127"/>
        <v>5231716.0071328441</v>
      </c>
      <c r="E346" s="70">
        <f t="shared" ca="1" si="128"/>
        <v>40</v>
      </c>
      <c r="F346" s="70">
        <f ca="1">IF(D346+Z346&lt;0.000001,0,IF(D346&lt;0.000001,F345,IF(OR(AE346=1,AND(K345&gt;0,入力設定!$B$8="返済額軽減型",入力設定!$B$11="翌月")),IF(C346=0,D346/MAX(1,E346),D346*(C346/12)/(1-(1+C346/12)^(-MAX(1,E346)))),F345)))</f>
        <v>142266.59803560199</v>
      </c>
      <c r="G346" s="70">
        <f t="shared" ca="1" si="110"/>
        <v>142266.59803560199</v>
      </c>
      <c r="H346" s="70">
        <f t="shared" ca="1" si="111"/>
        <v>21798.816696386853</v>
      </c>
      <c r="I346" s="70">
        <f t="shared" ca="1" si="112"/>
        <v>120467.78133921513</v>
      </c>
      <c r="J346" s="70">
        <f>SUMIFS(入力設定!$G$5:$G$24,入力設定!$F$5:$F$24,A346)</f>
        <v>0</v>
      </c>
      <c r="K346" s="70">
        <f t="shared" ca="1" si="113"/>
        <v>0</v>
      </c>
      <c r="L346" s="70">
        <f ca="1">IF(K346&gt;0,入力設定!$B$9,0)</f>
        <v>0</v>
      </c>
      <c r="M346" s="70">
        <f t="shared" ca="1" si="114"/>
        <v>5111248.225793629</v>
      </c>
      <c r="N346" s="70">
        <f ca="1">IF(M346+AA346&lt;0.000001,0,IF(AND(K346&gt;0,入力設定!$B$8="期間短縮型",AA346&lt;0.000001,F346&gt;M346*C346/12),MAX(1,MIN(E346-1,IF(C346=0,ROUNDUP(M346/F346,0),ROUNDUP(-LN(1-M346*(C346/12)/F346)/LN(1+C346/12),0)))),MAX(1,E346-1)))</f>
        <v>39</v>
      </c>
      <c r="O346" s="70">
        <f t="shared" ca="1" si="115"/>
        <v>142266.59803560199</v>
      </c>
      <c r="P346" s="70">
        <f t="shared" ca="1" si="129"/>
        <v>10202856.578685215</v>
      </c>
      <c r="Q346" s="70">
        <f ca="1">IF(OR(A346&gt;入力設定!$B$6*12,P346+AC346&lt;0.000001),0,IF(P346&lt;0.000001,Q345,IF(AE346=1,IF(C346=0,P346/MAX(1,入力設定!$B$6*12-A346+1),P346*(C346/12)/(1-(1+C346/12)^(-MAX(1,入力設定!$B$6*12-A346+1)))),Q345)))</f>
        <v>150233.43899513065</v>
      </c>
      <c r="R346" s="70">
        <f ca="1">IF(P346+AC346&lt;0.000001,0,IF(A346=入力設定!$B$6*12,P346+AB346+AC346,MIN(Q346,P346+AB346+AC346)))</f>
        <v>150233.43899513065</v>
      </c>
      <c r="S346" s="70">
        <f t="shared" ca="1" si="116"/>
        <v>42511.902411188399</v>
      </c>
      <c r="T346" s="70">
        <f t="shared" ca="1" si="117"/>
        <v>107721.53658394224</v>
      </c>
      <c r="U346" s="70">
        <f t="shared" ca="1" si="118"/>
        <v>10095135.042101273</v>
      </c>
      <c r="V346" s="70">
        <f t="shared" ca="1" si="119"/>
        <v>0</v>
      </c>
      <c r="W346" s="70">
        <f t="shared" ca="1" si="120"/>
        <v>0</v>
      </c>
      <c r="X346" s="70">
        <f t="shared" ca="1" si="121"/>
        <v>0</v>
      </c>
      <c r="Y346" s="71">
        <f t="shared" ca="1" si="122"/>
        <v>21798.816696386853</v>
      </c>
      <c r="Z346" s="71">
        <f t="shared" ca="1" si="130"/>
        <v>0</v>
      </c>
      <c r="AA346" s="71">
        <f t="shared" ca="1" si="123"/>
        <v>0</v>
      </c>
      <c r="AB346" s="71">
        <f t="shared" ca="1" si="124"/>
        <v>42511.902411188399</v>
      </c>
      <c r="AC346" s="71">
        <f t="shared" ca="1" si="131"/>
        <v>0</v>
      </c>
      <c r="AD346" s="71">
        <f t="shared" ca="1" si="125"/>
        <v>0</v>
      </c>
      <c r="AE346" s="72">
        <f t="shared" si="126"/>
        <v>0</v>
      </c>
      <c r="AF346" s="73">
        <f>IF(A346&gt;入力設定!$B$6*12,0,IF(AND(ISNUMBER(C346),C346&gt;=0,C346&lt;=1),0,1))</f>
        <v>0</v>
      </c>
    </row>
    <row r="347" spans="1:32" ht="21" customHeight="1">
      <c r="A347" s="68">
        <f>342</f>
        <v>342</v>
      </c>
      <c r="B347" s="69">
        <f>EDATE(入力設定!$B$7,A347-1)</f>
        <v>56705</v>
      </c>
      <c r="C347" s="80">
        <f>INDEX(入力設定!$C$15:$C$24,INT((A347-1)/60)+1)</f>
        <v>0.05</v>
      </c>
      <c r="D347" s="70">
        <f t="shared" ca="1" si="127"/>
        <v>5111248.225793629</v>
      </c>
      <c r="E347" s="70">
        <f t="shared" ca="1" si="128"/>
        <v>39</v>
      </c>
      <c r="F347" s="70">
        <f ca="1">IF(D347+Z347&lt;0.000001,0,IF(D347&lt;0.000001,F346,IF(OR(AE347=1,AND(K346&gt;0,入力設定!$B$8="返済額軽減型",入力設定!$B$11="翌月")),IF(C347=0,D347/MAX(1,E347),D347*(C347/12)/(1-(1+C347/12)^(-MAX(1,E347)))),F346)))</f>
        <v>142266.59803560199</v>
      </c>
      <c r="G347" s="70">
        <f t="shared" ca="1" si="110"/>
        <v>142266.59803560199</v>
      </c>
      <c r="H347" s="70">
        <f t="shared" ca="1" si="111"/>
        <v>21296.867607473454</v>
      </c>
      <c r="I347" s="70">
        <f t="shared" ca="1" si="112"/>
        <v>120969.73042812853</v>
      </c>
      <c r="J347" s="70">
        <f>SUMIFS(入力設定!$G$5:$G$24,入力設定!$F$5:$F$24,A347)</f>
        <v>0</v>
      </c>
      <c r="K347" s="70">
        <f t="shared" ca="1" si="113"/>
        <v>0</v>
      </c>
      <c r="L347" s="70">
        <f ca="1">IF(K347&gt;0,入力設定!$B$9,0)</f>
        <v>0</v>
      </c>
      <c r="M347" s="70">
        <f t="shared" ca="1" si="114"/>
        <v>4990278.4953655005</v>
      </c>
      <c r="N347" s="70">
        <f ca="1">IF(M347+AA347&lt;0.000001,0,IF(AND(K347&gt;0,入力設定!$B$8="期間短縮型",AA347&lt;0.000001,F347&gt;M347*C347/12),MAX(1,MIN(E347-1,IF(C347=0,ROUNDUP(M347/F347,0),ROUNDUP(-LN(1-M347*(C347/12)/F347)/LN(1+C347/12),0)))),MAX(1,E347-1)))</f>
        <v>38</v>
      </c>
      <c r="O347" s="70">
        <f t="shared" ca="1" si="115"/>
        <v>142266.59803560199</v>
      </c>
      <c r="P347" s="70">
        <f t="shared" ca="1" si="129"/>
        <v>10095135.042101273</v>
      </c>
      <c r="Q347" s="70">
        <f ca="1">IF(OR(A347&gt;入力設定!$B$6*12,P347+AC347&lt;0.000001),0,IF(P347&lt;0.000001,Q346,IF(AE347=1,IF(C347=0,P347/MAX(1,入力設定!$B$6*12-A347+1),P347*(C347/12)/(1-(1+C347/12)^(-MAX(1,入力設定!$B$6*12-A347+1)))),Q346)))</f>
        <v>150233.43899513065</v>
      </c>
      <c r="R347" s="70">
        <f ca="1">IF(P347+AC347&lt;0.000001,0,IF(A347=入力設定!$B$6*12,P347+AB347+AC347,MIN(Q347,P347+AB347+AC347)))</f>
        <v>150233.43899513065</v>
      </c>
      <c r="S347" s="70">
        <f t="shared" ca="1" si="116"/>
        <v>42063.062675421977</v>
      </c>
      <c r="T347" s="70">
        <f t="shared" ca="1" si="117"/>
        <v>108170.37631970868</v>
      </c>
      <c r="U347" s="70">
        <f t="shared" ca="1" si="118"/>
        <v>9986964.665781565</v>
      </c>
      <c r="V347" s="70">
        <f t="shared" ca="1" si="119"/>
        <v>0</v>
      </c>
      <c r="W347" s="70">
        <f t="shared" ca="1" si="120"/>
        <v>0</v>
      </c>
      <c r="X347" s="70">
        <f t="shared" ca="1" si="121"/>
        <v>0</v>
      </c>
      <c r="Y347" s="71">
        <f t="shared" ca="1" si="122"/>
        <v>21296.867607473454</v>
      </c>
      <c r="Z347" s="71">
        <f t="shared" ca="1" si="130"/>
        <v>0</v>
      </c>
      <c r="AA347" s="71">
        <f t="shared" ca="1" si="123"/>
        <v>0</v>
      </c>
      <c r="AB347" s="71">
        <f t="shared" ca="1" si="124"/>
        <v>42063.062675421977</v>
      </c>
      <c r="AC347" s="71">
        <f t="shared" ca="1" si="131"/>
        <v>0</v>
      </c>
      <c r="AD347" s="71">
        <f t="shared" ca="1" si="125"/>
        <v>0</v>
      </c>
      <c r="AE347" s="72">
        <f t="shared" si="126"/>
        <v>0</v>
      </c>
      <c r="AF347" s="73">
        <f>IF(A347&gt;入力設定!$B$6*12,0,IF(AND(ISNUMBER(C347),C347&gt;=0,C347&lt;=1),0,1))</f>
        <v>0</v>
      </c>
    </row>
    <row r="348" spans="1:32" ht="21" customHeight="1">
      <c r="A348" s="68">
        <f>343</f>
        <v>343</v>
      </c>
      <c r="B348" s="69">
        <f>EDATE(入力設定!$B$7,A348-1)</f>
        <v>56735</v>
      </c>
      <c r="C348" s="80">
        <f>INDEX(入力設定!$C$15:$C$24,INT((A348-1)/60)+1)</f>
        <v>0.05</v>
      </c>
      <c r="D348" s="70">
        <f t="shared" ca="1" si="127"/>
        <v>4990278.4953655005</v>
      </c>
      <c r="E348" s="70">
        <f t="shared" ca="1" si="128"/>
        <v>38</v>
      </c>
      <c r="F348" s="70">
        <f ca="1">IF(D348+Z348&lt;0.000001,0,IF(D348&lt;0.000001,F347,IF(OR(AE348=1,AND(K347&gt;0,入力設定!$B$8="返済額軽減型",入力設定!$B$11="翌月")),IF(C348=0,D348/MAX(1,E348),D348*(C348/12)/(1-(1+C348/12)^(-MAX(1,E348)))),F347)))</f>
        <v>142266.59803560199</v>
      </c>
      <c r="G348" s="70">
        <f t="shared" ca="1" si="110"/>
        <v>142266.59803560199</v>
      </c>
      <c r="H348" s="70">
        <f t="shared" ca="1" si="111"/>
        <v>20792.82706402292</v>
      </c>
      <c r="I348" s="70">
        <f t="shared" ca="1" si="112"/>
        <v>121473.77097157907</v>
      </c>
      <c r="J348" s="70">
        <f>SUMIFS(入力設定!$G$5:$G$24,入力設定!$F$5:$F$24,A348)</f>
        <v>0</v>
      </c>
      <c r="K348" s="70">
        <f t="shared" ca="1" si="113"/>
        <v>0</v>
      </c>
      <c r="L348" s="70">
        <f ca="1">IF(K348&gt;0,入力設定!$B$9,0)</f>
        <v>0</v>
      </c>
      <c r="M348" s="70">
        <f t="shared" ca="1" si="114"/>
        <v>4868804.724393921</v>
      </c>
      <c r="N348" s="70">
        <f ca="1">IF(M348+AA348&lt;0.000001,0,IF(AND(K348&gt;0,入力設定!$B$8="期間短縮型",AA348&lt;0.000001,F348&gt;M348*C348/12),MAX(1,MIN(E348-1,IF(C348=0,ROUNDUP(M348/F348,0),ROUNDUP(-LN(1-M348*(C348/12)/F348)/LN(1+C348/12),0)))),MAX(1,E348-1)))</f>
        <v>37</v>
      </c>
      <c r="O348" s="70">
        <f t="shared" ca="1" si="115"/>
        <v>142266.59803560199</v>
      </c>
      <c r="P348" s="70">
        <f t="shared" ca="1" si="129"/>
        <v>9986964.665781565</v>
      </c>
      <c r="Q348" s="70">
        <f ca="1">IF(OR(A348&gt;入力設定!$B$6*12,P348+AC348&lt;0.000001),0,IF(P348&lt;0.000001,Q347,IF(AE348=1,IF(C348=0,P348/MAX(1,入力設定!$B$6*12-A348+1),P348*(C348/12)/(1-(1+C348/12)^(-MAX(1,入力設定!$B$6*12-A348+1)))),Q347)))</f>
        <v>150233.43899513065</v>
      </c>
      <c r="R348" s="70">
        <f ca="1">IF(P348+AC348&lt;0.000001,0,IF(A348=入力設定!$B$6*12,P348+AB348+AC348,MIN(Q348,P348+AB348+AC348)))</f>
        <v>150233.43899513065</v>
      </c>
      <c r="S348" s="70">
        <f t="shared" ca="1" si="116"/>
        <v>41612.352774089857</v>
      </c>
      <c r="T348" s="70">
        <f t="shared" ca="1" si="117"/>
        <v>108621.08622104079</v>
      </c>
      <c r="U348" s="70">
        <f t="shared" ca="1" si="118"/>
        <v>9878343.5795605239</v>
      </c>
      <c r="V348" s="70">
        <f t="shared" ca="1" si="119"/>
        <v>0</v>
      </c>
      <c r="W348" s="70">
        <f t="shared" ca="1" si="120"/>
        <v>0</v>
      </c>
      <c r="X348" s="70">
        <f t="shared" ca="1" si="121"/>
        <v>0</v>
      </c>
      <c r="Y348" s="71">
        <f t="shared" ca="1" si="122"/>
        <v>20792.82706402292</v>
      </c>
      <c r="Z348" s="71">
        <f t="shared" ca="1" si="130"/>
        <v>0</v>
      </c>
      <c r="AA348" s="71">
        <f t="shared" ca="1" si="123"/>
        <v>0</v>
      </c>
      <c r="AB348" s="71">
        <f t="shared" ca="1" si="124"/>
        <v>41612.352774089857</v>
      </c>
      <c r="AC348" s="71">
        <f t="shared" ca="1" si="131"/>
        <v>0</v>
      </c>
      <c r="AD348" s="71">
        <f t="shared" ca="1" si="125"/>
        <v>0</v>
      </c>
      <c r="AE348" s="72">
        <f t="shared" si="126"/>
        <v>0</v>
      </c>
      <c r="AF348" s="73">
        <f>IF(A348&gt;入力設定!$B$6*12,0,IF(AND(ISNUMBER(C348),C348&gt;=0,C348&lt;=1),0,1))</f>
        <v>0</v>
      </c>
    </row>
    <row r="349" spans="1:32" ht="21" customHeight="1">
      <c r="A349" s="68">
        <f>344</f>
        <v>344</v>
      </c>
      <c r="B349" s="69">
        <f>EDATE(入力設定!$B$7,A349-1)</f>
        <v>56766</v>
      </c>
      <c r="C349" s="80">
        <f>INDEX(入力設定!$C$15:$C$24,INT((A349-1)/60)+1)</f>
        <v>0.05</v>
      </c>
      <c r="D349" s="70">
        <f t="shared" ca="1" si="127"/>
        <v>4868804.724393921</v>
      </c>
      <c r="E349" s="70">
        <f t="shared" ca="1" si="128"/>
        <v>37</v>
      </c>
      <c r="F349" s="70">
        <f ca="1">IF(D349+Z349&lt;0.000001,0,IF(D349&lt;0.000001,F348,IF(OR(AE349=1,AND(K348&gt;0,入力設定!$B$8="返済額軽減型",入力設定!$B$11="翌月")),IF(C349=0,D349/MAX(1,E349),D349*(C349/12)/(1-(1+C349/12)^(-MAX(1,E349)))),F348)))</f>
        <v>142266.59803560199</v>
      </c>
      <c r="G349" s="70">
        <f t="shared" ca="1" si="110"/>
        <v>142266.59803560199</v>
      </c>
      <c r="H349" s="70">
        <f t="shared" ca="1" si="111"/>
        <v>20286.68635164134</v>
      </c>
      <c r="I349" s="70">
        <f t="shared" ca="1" si="112"/>
        <v>121979.91168396064</v>
      </c>
      <c r="J349" s="70">
        <f>SUMIFS(入力設定!$G$5:$G$24,入力設定!$F$5:$F$24,A349)</f>
        <v>0</v>
      </c>
      <c r="K349" s="70">
        <f t="shared" ca="1" si="113"/>
        <v>0</v>
      </c>
      <c r="L349" s="70">
        <f ca="1">IF(K349&gt;0,入力設定!$B$9,0)</f>
        <v>0</v>
      </c>
      <c r="M349" s="70">
        <f t="shared" ca="1" si="114"/>
        <v>4746824.8127099602</v>
      </c>
      <c r="N349" s="70">
        <f ca="1">IF(M349+AA349&lt;0.000001,0,IF(AND(K349&gt;0,入力設定!$B$8="期間短縮型",AA349&lt;0.000001,F349&gt;M349*C349/12),MAX(1,MIN(E349-1,IF(C349=0,ROUNDUP(M349/F349,0),ROUNDUP(-LN(1-M349*(C349/12)/F349)/LN(1+C349/12),0)))),MAX(1,E349-1)))</f>
        <v>36</v>
      </c>
      <c r="O349" s="70">
        <f t="shared" ca="1" si="115"/>
        <v>142266.59803560199</v>
      </c>
      <c r="P349" s="70">
        <f t="shared" ca="1" si="129"/>
        <v>9878343.5795605239</v>
      </c>
      <c r="Q349" s="70">
        <f ca="1">IF(OR(A349&gt;入力設定!$B$6*12,P349+AC349&lt;0.000001),0,IF(P349&lt;0.000001,Q348,IF(AE349=1,IF(C349=0,P349/MAX(1,入力設定!$B$6*12-A349+1),P349*(C349/12)/(1-(1+C349/12)^(-MAX(1,入力設定!$B$6*12-A349+1)))),Q348)))</f>
        <v>150233.43899513065</v>
      </c>
      <c r="R349" s="70">
        <f ca="1">IF(P349+AC349&lt;0.000001,0,IF(A349=入力設定!$B$6*12,P349+AB349+AC349,MIN(Q349,P349+AB349+AC349)))</f>
        <v>150233.43899513065</v>
      </c>
      <c r="S349" s="70">
        <f t="shared" ca="1" si="116"/>
        <v>41159.764914835519</v>
      </c>
      <c r="T349" s="70">
        <f t="shared" ca="1" si="117"/>
        <v>109073.67408029514</v>
      </c>
      <c r="U349" s="70">
        <f t="shared" ca="1" si="118"/>
        <v>9769269.9054802284</v>
      </c>
      <c r="V349" s="70">
        <f t="shared" ca="1" si="119"/>
        <v>0</v>
      </c>
      <c r="W349" s="70">
        <f t="shared" ca="1" si="120"/>
        <v>0</v>
      </c>
      <c r="X349" s="70">
        <f t="shared" ca="1" si="121"/>
        <v>0</v>
      </c>
      <c r="Y349" s="71">
        <f t="shared" ca="1" si="122"/>
        <v>20286.68635164134</v>
      </c>
      <c r="Z349" s="71">
        <f t="shared" ca="1" si="130"/>
        <v>0</v>
      </c>
      <c r="AA349" s="71">
        <f t="shared" ca="1" si="123"/>
        <v>0</v>
      </c>
      <c r="AB349" s="71">
        <f t="shared" ca="1" si="124"/>
        <v>41159.764914835519</v>
      </c>
      <c r="AC349" s="71">
        <f t="shared" ca="1" si="131"/>
        <v>0</v>
      </c>
      <c r="AD349" s="71">
        <f t="shared" ca="1" si="125"/>
        <v>0</v>
      </c>
      <c r="AE349" s="72">
        <f t="shared" si="126"/>
        <v>0</v>
      </c>
      <c r="AF349" s="73">
        <f>IF(A349&gt;入力設定!$B$6*12,0,IF(AND(ISNUMBER(C349),C349&gt;=0,C349&lt;=1),0,1))</f>
        <v>0</v>
      </c>
    </row>
    <row r="350" spans="1:32" ht="21" customHeight="1">
      <c r="A350" s="68">
        <f>345</f>
        <v>345</v>
      </c>
      <c r="B350" s="69">
        <f>EDATE(入力設定!$B$7,A350-1)</f>
        <v>56796</v>
      </c>
      <c r="C350" s="80">
        <f>INDEX(入力設定!$C$15:$C$24,INT((A350-1)/60)+1)</f>
        <v>0.05</v>
      </c>
      <c r="D350" s="70">
        <f t="shared" ca="1" si="127"/>
        <v>4746824.8127099602</v>
      </c>
      <c r="E350" s="70">
        <f t="shared" ca="1" si="128"/>
        <v>36</v>
      </c>
      <c r="F350" s="70">
        <f ca="1">IF(D350+Z350&lt;0.000001,0,IF(D350&lt;0.000001,F349,IF(OR(AE350=1,AND(K349&gt;0,入力設定!$B$8="返済額軽減型",入力設定!$B$11="翌月")),IF(C350=0,D350/MAX(1,E350),D350*(C350/12)/(1-(1+C350/12)^(-MAX(1,E350)))),F349)))</f>
        <v>142266.59803560199</v>
      </c>
      <c r="G350" s="70">
        <f t="shared" ca="1" si="110"/>
        <v>142266.59803560199</v>
      </c>
      <c r="H350" s="70">
        <f t="shared" ca="1" si="111"/>
        <v>19778.436719624835</v>
      </c>
      <c r="I350" s="70">
        <f t="shared" ca="1" si="112"/>
        <v>122488.16131597715</v>
      </c>
      <c r="J350" s="70">
        <f>SUMIFS(入力設定!$G$5:$G$24,入力設定!$F$5:$F$24,A350)</f>
        <v>0</v>
      </c>
      <c r="K350" s="70">
        <f t="shared" ca="1" si="113"/>
        <v>0</v>
      </c>
      <c r="L350" s="70">
        <f ca="1">IF(K350&gt;0,入力設定!$B$9,0)</f>
        <v>0</v>
      </c>
      <c r="M350" s="70">
        <f t="shared" ca="1" si="114"/>
        <v>4624336.6513939826</v>
      </c>
      <c r="N350" s="70">
        <f ca="1">IF(M350+AA350&lt;0.000001,0,IF(AND(K350&gt;0,入力設定!$B$8="期間短縮型",AA350&lt;0.000001,F350&gt;M350*C350/12),MAX(1,MIN(E350-1,IF(C350=0,ROUNDUP(M350/F350,0),ROUNDUP(-LN(1-M350*(C350/12)/F350)/LN(1+C350/12),0)))),MAX(1,E350-1)))</f>
        <v>35</v>
      </c>
      <c r="O350" s="70">
        <f t="shared" ca="1" si="115"/>
        <v>142266.59803560199</v>
      </c>
      <c r="P350" s="70">
        <f t="shared" ca="1" si="129"/>
        <v>9769269.9054802284</v>
      </c>
      <c r="Q350" s="70">
        <f ca="1">IF(OR(A350&gt;入力設定!$B$6*12,P350+AC350&lt;0.000001),0,IF(P350&lt;0.000001,Q349,IF(AE350=1,IF(C350=0,P350/MAX(1,入力設定!$B$6*12-A350+1),P350*(C350/12)/(1-(1+C350/12)^(-MAX(1,入力設定!$B$6*12-A350+1)))),Q349)))</f>
        <v>150233.43899513065</v>
      </c>
      <c r="R350" s="70">
        <f ca="1">IF(P350+AC350&lt;0.000001,0,IF(A350=入力設定!$B$6*12,P350+AB350+AC350,MIN(Q350,P350+AB350+AC350)))</f>
        <v>150233.43899513065</v>
      </c>
      <c r="S350" s="70">
        <f t="shared" ca="1" si="116"/>
        <v>40705.291272834285</v>
      </c>
      <c r="T350" s="70">
        <f t="shared" ca="1" si="117"/>
        <v>109528.14772229636</v>
      </c>
      <c r="U350" s="70">
        <f t="shared" ca="1" si="118"/>
        <v>9659741.7577579319</v>
      </c>
      <c r="V350" s="70">
        <f t="shared" ca="1" si="119"/>
        <v>0</v>
      </c>
      <c r="W350" s="70">
        <f t="shared" ca="1" si="120"/>
        <v>0</v>
      </c>
      <c r="X350" s="70">
        <f t="shared" ca="1" si="121"/>
        <v>0</v>
      </c>
      <c r="Y350" s="71">
        <f t="shared" ca="1" si="122"/>
        <v>19778.436719624835</v>
      </c>
      <c r="Z350" s="71">
        <f t="shared" ca="1" si="130"/>
        <v>0</v>
      </c>
      <c r="AA350" s="71">
        <f t="shared" ca="1" si="123"/>
        <v>0</v>
      </c>
      <c r="AB350" s="71">
        <f t="shared" ca="1" si="124"/>
        <v>40705.291272834285</v>
      </c>
      <c r="AC350" s="71">
        <f t="shared" ca="1" si="131"/>
        <v>0</v>
      </c>
      <c r="AD350" s="71">
        <f t="shared" ca="1" si="125"/>
        <v>0</v>
      </c>
      <c r="AE350" s="72">
        <f t="shared" si="126"/>
        <v>0</v>
      </c>
      <c r="AF350" s="73">
        <f>IF(A350&gt;入力設定!$B$6*12,0,IF(AND(ISNUMBER(C350),C350&gt;=0,C350&lt;=1),0,1))</f>
        <v>0</v>
      </c>
    </row>
    <row r="351" spans="1:32" ht="21" customHeight="1">
      <c r="A351" s="68">
        <f>346</f>
        <v>346</v>
      </c>
      <c r="B351" s="69">
        <f>EDATE(入力設定!$B$7,A351-1)</f>
        <v>56827</v>
      </c>
      <c r="C351" s="80">
        <f>INDEX(入力設定!$C$15:$C$24,INT((A351-1)/60)+1)</f>
        <v>0.05</v>
      </c>
      <c r="D351" s="70">
        <f t="shared" ca="1" si="127"/>
        <v>4624336.6513939826</v>
      </c>
      <c r="E351" s="70">
        <f t="shared" ca="1" si="128"/>
        <v>35</v>
      </c>
      <c r="F351" s="70">
        <f ca="1">IF(D351+Z351&lt;0.000001,0,IF(D351&lt;0.000001,F350,IF(OR(AE351=1,AND(K350&gt;0,入力設定!$B$8="返済額軽減型",入力設定!$B$11="翌月")),IF(C351=0,D351/MAX(1,E351),D351*(C351/12)/(1-(1+C351/12)^(-MAX(1,E351)))),F350)))</f>
        <v>142266.59803560199</v>
      </c>
      <c r="G351" s="70">
        <f t="shared" ca="1" si="110"/>
        <v>142266.59803560199</v>
      </c>
      <c r="H351" s="70">
        <f t="shared" ca="1" si="111"/>
        <v>19268.069380808261</v>
      </c>
      <c r="I351" s="70">
        <f t="shared" ca="1" si="112"/>
        <v>122998.52865479373</v>
      </c>
      <c r="J351" s="70">
        <f>SUMIFS(入力設定!$G$5:$G$24,入力設定!$F$5:$F$24,A351)</f>
        <v>0</v>
      </c>
      <c r="K351" s="70">
        <f t="shared" ca="1" si="113"/>
        <v>0</v>
      </c>
      <c r="L351" s="70">
        <f ca="1">IF(K351&gt;0,入力設定!$B$9,0)</f>
        <v>0</v>
      </c>
      <c r="M351" s="70">
        <f t="shared" ca="1" si="114"/>
        <v>4501338.1227391893</v>
      </c>
      <c r="N351" s="70">
        <f ca="1">IF(M351+AA351&lt;0.000001,0,IF(AND(K351&gt;0,入力設定!$B$8="期間短縮型",AA351&lt;0.000001,F351&gt;M351*C351/12),MAX(1,MIN(E351-1,IF(C351=0,ROUNDUP(M351/F351,0),ROUNDUP(-LN(1-M351*(C351/12)/F351)/LN(1+C351/12),0)))),MAX(1,E351-1)))</f>
        <v>34</v>
      </c>
      <c r="O351" s="70">
        <f t="shared" ca="1" si="115"/>
        <v>142266.59803560199</v>
      </c>
      <c r="P351" s="70">
        <f t="shared" ca="1" si="129"/>
        <v>9659741.7577579319</v>
      </c>
      <c r="Q351" s="70">
        <f ca="1">IF(OR(A351&gt;入力設定!$B$6*12,P351+AC351&lt;0.000001),0,IF(P351&lt;0.000001,Q350,IF(AE351=1,IF(C351=0,P351/MAX(1,入力設定!$B$6*12-A351+1),P351*(C351/12)/(1-(1+C351/12)^(-MAX(1,入力設定!$B$6*12-A351+1)))),Q350)))</f>
        <v>150233.43899513065</v>
      </c>
      <c r="R351" s="70">
        <f ca="1">IF(P351+AC351&lt;0.000001,0,IF(A351=入力設定!$B$6*12,P351+AB351+AC351,MIN(Q351,P351+AB351+AC351)))</f>
        <v>150233.43899513065</v>
      </c>
      <c r="S351" s="70">
        <f t="shared" ca="1" si="116"/>
        <v>40248.923990658055</v>
      </c>
      <c r="T351" s="70">
        <f t="shared" ca="1" si="117"/>
        <v>109984.5150044726</v>
      </c>
      <c r="U351" s="70">
        <f t="shared" ca="1" si="118"/>
        <v>9549757.2427534591</v>
      </c>
      <c r="V351" s="70">
        <f t="shared" ca="1" si="119"/>
        <v>0</v>
      </c>
      <c r="W351" s="70">
        <f t="shared" ca="1" si="120"/>
        <v>0</v>
      </c>
      <c r="X351" s="70">
        <f t="shared" ca="1" si="121"/>
        <v>0</v>
      </c>
      <c r="Y351" s="71">
        <f t="shared" ca="1" si="122"/>
        <v>19268.069380808261</v>
      </c>
      <c r="Z351" s="71">
        <f t="shared" ca="1" si="130"/>
        <v>0</v>
      </c>
      <c r="AA351" s="71">
        <f t="shared" ca="1" si="123"/>
        <v>0</v>
      </c>
      <c r="AB351" s="71">
        <f t="shared" ca="1" si="124"/>
        <v>40248.923990658055</v>
      </c>
      <c r="AC351" s="71">
        <f t="shared" ca="1" si="131"/>
        <v>0</v>
      </c>
      <c r="AD351" s="71">
        <f t="shared" ca="1" si="125"/>
        <v>0</v>
      </c>
      <c r="AE351" s="72">
        <f t="shared" si="126"/>
        <v>0</v>
      </c>
      <c r="AF351" s="73">
        <f>IF(A351&gt;入力設定!$B$6*12,0,IF(AND(ISNUMBER(C351),C351&gt;=0,C351&lt;=1),0,1))</f>
        <v>0</v>
      </c>
    </row>
    <row r="352" spans="1:32" ht="21" customHeight="1">
      <c r="A352" s="68">
        <f>347</f>
        <v>347</v>
      </c>
      <c r="B352" s="69">
        <f>EDATE(入力設定!$B$7,A352-1)</f>
        <v>56858</v>
      </c>
      <c r="C352" s="80">
        <f>INDEX(入力設定!$C$15:$C$24,INT((A352-1)/60)+1)</f>
        <v>0.05</v>
      </c>
      <c r="D352" s="70">
        <f t="shared" ca="1" si="127"/>
        <v>4501338.1227391893</v>
      </c>
      <c r="E352" s="70">
        <f t="shared" ca="1" si="128"/>
        <v>34</v>
      </c>
      <c r="F352" s="70">
        <f ca="1">IF(D352+Z352&lt;0.000001,0,IF(D352&lt;0.000001,F351,IF(OR(AE352=1,AND(K351&gt;0,入力設定!$B$8="返済額軽減型",入力設定!$B$11="翌月")),IF(C352=0,D352/MAX(1,E352),D352*(C352/12)/(1-(1+C352/12)^(-MAX(1,E352)))),F351)))</f>
        <v>142266.59803560199</v>
      </c>
      <c r="G352" s="70">
        <f t="shared" ca="1" si="110"/>
        <v>142266.59803560199</v>
      </c>
      <c r="H352" s="70">
        <f t="shared" ca="1" si="111"/>
        <v>18755.575511413288</v>
      </c>
      <c r="I352" s="70">
        <f t="shared" ca="1" si="112"/>
        <v>123511.02252418869</v>
      </c>
      <c r="J352" s="70">
        <f>SUMIFS(入力設定!$G$5:$G$24,入力設定!$F$5:$F$24,A352)</f>
        <v>0</v>
      </c>
      <c r="K352" s="70">
        <f t="shared" ca="1" si="113"/>
        <v>0</v>
      </c>
      <c r="L352" s="70">
        <f ca="1">IF(K352&gt;0,入力設定!$B$9,0)</f>
        <v>0</v>
      </c>
      <c r="M352" s="70">
        <f t="shared" ca="1" si="114"/>
        <v>4377827.100215001</v>
      </c>
      <c r="N352" s="70">
        <f ca="1">IF(M352+AA352&lt;0.000001,0,IF(AND(K352&gt;0,入力設定!$B$8="期間短縮型",AA352&lt;0.000001,F352&gt;M352*C352/12),MAX(1,MIN(E352-1,IF(C352=0,ROUNDUP(M352/F352,0),ROUNDUP(-LN(1-M352*(C352/12)/F352)/LN(1+C352/12),0)))),MAX(1,E352-1)))</f>
        <v>33</v>
      </c>
      <c r="O352" s="70">
        <f t="shared" ca="1" si="115"/>
        <v>142266.59803560199</v>
      </c>
      <c r="P352" s="70">
        <f t="shared" ca="1" si="129"/>
        <v>9549757.2427534591</v>
      </c>
      <c r="Q352" s="70">
        <f ca="1">IF(OR(A352&gt;入力設定!$B$6*12,P352+AC352&lt;0.000001),0,IF(P352&lt;0.000001,Q351,IF(AE352=1,IF(C352=0,P352/MAX(1,入力設定!$B$6*12-A352+1),P352*(C352/12)/(1-(1+C352/12)^(-MAX(1,入力設定!$B$6*12-A352+1)))),Q351)))</f>
        <v>150233.43899513065</v>
      </c>
      <c r="R352" s="70">
        <f ca="1">IF(P352+AC352&lt;0.000001,0,IF(A352=入力設定!$B$6*12,P352+AB352+AC352,MIN(Q352,P352+AB352+AC352)))</f>
        <v>150233.43899513065</v>
      </c>
      <c r="S352" s="70">
        <f t="shared" ca="1" si="116"/>
        <v>39790.655178139416</v>
      </c>
      <c r="T352" s="70">
        <f t="shared" ca="1" si="117"/>
        <v>110442.78381699123</v>
      </c>
      <c r="U352" s="70">
        <f t="shared" ca="1" si="118"/>
        <v>9439314.4589364678</v>
      </c>
      <c r="V352" s="70">
        <f t="shared" ca="1" si="119"/>
        <v>0</v>
      </c>
      <c r="W352" s="70">
        <f t="shared" ca="1" si="120"/>
        <v>0</v>
      </c>
      <c r="X352" s="70">
        <f t="shared" ca="1" si="121"/>
        <v>0</v>
      </c>
      <c r="Y352" s="71">
        <f t="shared" ca="1" si="122"/>
        <v>18755.575511413288</v>
      </c>
      <c r="Z352" s="71">
        <f t="shared" ca="1" si="130"/>
        <v>0</v>
      </c>
      <c r="AA352" s="71">
        <f t="shared" ca="1" si="123"/>
        <v>0</v>
      </c>
      <c r="AB352" s="71">
        <f t="shared" ca="1" si="124"/>
        <v>39790.655178139416</v>
      </c>
      <c r="AC352" s="71">
        <f t="shared" ca="1" si="131"/>
        <v>0</v>
      </c>
      <c r="AD352" s="71">
        <f t="shared" ca="1" si="125"/>
        <v>0</v>
      </c>
      <c r="AE352" s="72">
        <f t="shared" si="126"/>
        <v>0</v>
      </c>
      <c r="AF352" s="73">
        <f>IF(A352&gt;入力設定!$B$6*12,0,IF(AND(ISNUMBER(C352),C352&gt;=0,C352&lt;=1),0,1))</f>
        <v>0</v>
      </c>
    </row>
    <row r="353" spans="1:32" ht="21" customHeight="1">
      <c r="A353" s="68">
        <f>348</f>
        <v>348</v>
      </c>
      <c r="B353" s="69">
        <f>EDATE(入力設定!$B$7,A353-1)</f>
        <v>56888</v>
      </c>
      <c r="C353" s="80">
        <f>INDEX(入力設定!$C$15:$C$24,INT((A353-1)/60)+1)</f>
        <v>0.05</v>
      </c>
      <c r="D353" s="70">
        <f t="shared" ca="1" si="127"/>
        <v>4377827.100215001</v>
      </c>
      <c r="E353" s="70">
        <f t="shared" ca="1" si="128"/>
        <v>33</v>
      </c>
      <c r="F353" s="70">
        <f ca="1">IF(D353+Z353&lt;0.000001,0,IF(D353&lt;0.000001,F352,IF(OR(AE353=1,AND(K352&gt;0,入力設定!$B$8="返済額軽減型",入力設定!$B$11="翌月")),IF(C353=0,D353/MAX(1,E353),D353*(C353/12)/(1-(1+C353/12)^(-MAX(1,E353)))),F352)))</f>
        <v>142266.59803560199</v>
      </c>
      <c r="G353" s="70">
        <f t="shared" ca="1" si="110"/>
        <v>142266.59803560199</v>
      </c>
      <c r="H353" s="70">
        <f t="shared" ca="1" si="111"/>
        <v>18240.946250895839</v>
      </c>
      <c r="I353" s="70">
        <f t="shared" ca="1" si="112"/>
        <v>124025.65178470615</v>
      </c>
      <c r="J353" s="70">
        <f>SUMIFS(入力設定!$G$5:$G$24,入力設定!$F$5:$F$24,A353)</f>
        <v>0</v>
      </c>
      <c r="K353" s="70">
        <f t="shared" ca="1" si="113"/>
        <v>0</v>
      </c>
      <c r="L353" s="70">
        <f ca="1">IF(K353&gt;0,入力設定!$B$9,0)</f>
        <v>0</v>
      </c>
      <c r="M353" s="70">
        <f t="shared" ca="1" si="114"/>
        <v>4253801.4484302951</v>
      </c>
      <c r="N353" s="70">
        <f ca="1">IF(M353+AA353&lt;0.000001,0,IF(AND(K353&gt;0,入力設定!$B$8="期間短縮型",AA353&lt;0.000001,F353&gt;M353*C353/12),MAX(1,MIN(E353-1,IF(C353=0,ROUNDUP(M353/F353,0),ROUNDUP(-LN(1-M353*(C353/12)/F353)/LN(1+C353/12),0)))),MAX(1,E353-1)))</f>
        <v>32</v>
      </c>
      <c r="O353" s="70">
        <f t="shared" ca="1" si="115"/>
        <v>142266.59803560199</v>
      </c>
      <c r="P353" s="70">
        <f t="shared" ca="1" si="129"/>
        <v>9439314.4589364678</v>
      </c>
      <c r="Q353" s="70">
        <f ca="1">IF(OR(A353&gt;入力設定!$B$6*12,P353+AC353&lt;0.000001),0,IF(P353&lt;0.000001,Q352,IF(AE353=1,IF(C353=0,P353/MAX(1,入力設定!$B$6*12-A353+1),P353*(C353/12)/(1-(1+C353/12)^(-MAX(1,入力設定!$B$6*12-A353+1)))),Q352)))</f>
        <v>150233.43899513065</v>
      </c>
      <c r="R353" s="70">
        <f ca="1">IF(P353+AC353&lt;0.000001,0,IF(A353=入力設定!$B$6*12,P353+AB353+AC353,MIN(Q353,P353+AB353+AC353)))</f>
        <v>150233.43899513065</v>
      </c>
      <c r="S353" s="70">
        <f t="shared" ca="1" si="116"/>
        <v>39330.476912235281</v>
      </c>
      <c r="T353" s="70">
        <f t="shared" ca="1" si="117"/>
        <v>110902.96208289536</v>
      </c>
      <c r="U353" s="70">
        <f t="shared" ca="1" si="118"/>
        <v>9328411.4968535732</v>
      </c>
      <c r="V353" s="70">
        <f t="shared" ca="1" si="119"/>
        <v>0</v>
      </c>
      <c r="W353" s="70">
        <f t="shared" ca="1" si="120"/>
        <v>0</v>
      </c>
      <c r="X353" s="70">
        <f t="shared" ca="1" si="121"/>
        <v>0</v>
      </c>
      <c r="Y353" s="71">
        <f t="shared" ca="1" si="122"/>
        <v>18240.946250895839</v>
      </c>
      <c r="Z353" s="71">
        <f t="shared" ca="1" si="130"/>
        <v>0</v>
      </c>
      <c r="AA353" s="71">
        <f t="shared" ca="1" si="123"/>
        <v>0</v>
      </c>
      <c r="AB353" s="71">
        <f t="shared" ca="1" si="124"/>
        <v>39330.476912235281</v>
      </c>
      <c r="AC353" s="71">
        <f t="shared" ca="1" si="131"/>
        <v>0</v>
      </c>
      <c r="AD353" s="71">
        <f t="shared" ca="1" si="125"/>
        <v>0</v>
      </c>
      <c r="AE353" s="72">
        <f t="shared" si="126"/>
        <v>0</v>
      </c>
      <c r="AF353" s="73">
        <f>IF(A353&gt;入力設定!$B$6*12,0,IF(AND(ISNUMBER(C353),C353&gt;=0,C353&lt;=1),0,1))</f>
        <v>0</v>
      </c>
    </row>
    <row r="354" spans="1:32" ht="21" customHeight="1">
      <c r="A354" s="68">
        <f>349</f>
        <v>349</v>
      </c>
      <c r="B354" s="69">
        <f>EDATE(入力設定!$B$7,A354-1)</f>
        <v>56919</v>
      </c>
      <c r="C354" s="80">
        <f>INDEX(入力設定!$C$15:$C$24,INT((A354-1)/60)+1)</f>
        <v>0.05</v>
      </c>
      <c r="D354" s="70">
        <f t="shared" ca="1" si="127"/>
        <v>4253801.4484302951</v>
      </c>
      <c r="E354" s="70">
        <f t="shared" ca="1" si="128"/>
        <v>32</v>
      </c>
      <c r="F354" s="70">
        <f ca="1">IF(D354+Z354&lt;0.000001,0,IF(D354&lt;0.000001,F353,IF(OR(AE354=1,AND(K353&gt;0,入力設定!$B$8="返済額軽減型",入力設定!$B$11="翌月")),IF(C354=0,D354/MAX(1,E354),D354*(C354/12)/(1-(1+C354/12)^(-MAX(1,E354)))),F353)))</f>
        <v>142266.59803560199</v>
      </c>
      <c r="G354" s="70">
        <f t="shared" ca="1" si="110"/>
        <v>142266.59803560199</v>
      </c>
      <c r="H354" s="70">
        <f t="shared" ca="1" si="111"/>
        <v>17724.172701792897</v>
      </c>
      <c r="I354" s="70">
        <f t="shared" ca="1" si="112"/>
        <v>124542.42533380909</v>
      </c>
      <c r="J354" s="70">
        <f>SUMIFS(入力設定!$G$5:$G$24,入力設定!$F$5:$F$24,A354)</f>
        <v>0</v>
      </c>
      <c r="K354" s="70">
        <f t="shared" ca="1" si="113"/>
        <v>0</v>
      </c>
      <c r="L354" s="70">
        <f ca="1">IF(K354&gt;0,入力設定!$B$9,0)</f>
        <v>0</v>
      </c>
      <c r="M354" s="70">
        <f t="shared" ca="1" si="114"/>
        <v>4129259.023096486</v>
      </c>
      <c r="N354" s="70">
        <f ca="1">IF(M354+AA354&lt;0.000001,0,IF(AND(K354&gt;0,入力設定!$B$8="期間短縮型",AA354&lt;0.000001,F354&gt;M354*C354/12),MAX(1,MIN(E354-1,IF(C354=0,ROUNDUP(M354/F354,0),ROUNDUP(-LN(1-M354*(C354/12)/F354)/LN(1+C354/12),0)))),MAX(1,E354-1)))</f>
        <v>31</v>
      </c>
      <c r="O354" s="70">
        <f t="shared" ca="1" si="115"/>
        <v>142266.59803560199</v>
      </c>
      <c r="P354" s="70">
        <f t="shared" ca="1" si="129"/>
        <v>9328411.4968535732</v>
      </c>
      <c r="Q354" s="70">
        <f ca="1">IF(OR(A354&gt;入力設定!$B$6*12,P354+AC354&lt;0.000001),0,IF(P354&lt;0.000001,Q353,IF(AE354=1,IF(C354=0,P354/MAX(1,入力設定!$B$6*12-A354+1),P354*(C354/12)/(1-(1+C354/12)^(-MAX(1,入力設定!$B$6*12-A354+1)))),Q353)))</f>
        <v>150233.43899513065</v>
      </c>
      <c r="R354" s="70">
        <f ca="1">IF(P354+AC354&lt;0.000001,0,IF(A354=入力設定!$B$6*12,P354+AB354+AC354,MIN(Q354,P354+AB354+AC354)))</f>
        <v>150233.43899513065</v>
      </c>
      <c r="S354" s="70">
        <f t="shared" ca="1" si="116"/>
        <v>38868.381236889887</v>
      </c>
      <c r="T354" s="70">
        <f t="shared" ca="1" si="117"/>
        <v>111365.05775824076</v>
      </c>
      <c r="U354" s="70">
        <f t="shared" ca="1" si="118"/>
        <v>9217046.4390953332</v>
      </c>
      <c r="V354" s="70">
        <f t="shared" ca="1" si="119"/>
        <v>0</v>
      </c>
      <c r="W354" s="70">
        <f t="shared" ca="1" si="120"/>
        <v>0</v>
      </c>
      <c r="X354" s="70">
        <f t="shared" ca="1" si="121"/>
        <v>0</v>
      </c>
      <c r="Y354" s="71">
        <f t="shared" ca="1" si="122"/>
        <v>17724.172701792897</v>
      </c>
      <c r="Z354" s="71">
        <f t="shared" ca="1" si="130"/>
        <v>0</v>
      </c>
      <c r="AA354" s="71">
        <f t="shared" ca="1" si="123"/>
        <v>0</v>
      </c>
      <c r="AB354" s="71">
        <f t="shared" ca="1" si="124"/>
        <v>38868.381236889887</v>
      </c>
      <c r="AC354" s="71">
        <f t="shared" ca="1" si="131"/>
        <v>0</v>
      </c>
      <c r="AD354" s="71">
        <f t="shared" ca="1" si="125"/>
        <v>0</v>
      </c>
      <c r="AE354" s="72">
        <f t="shared" si="126"/>
        <v>0</v>
      </c>
      <c r="AF354" s="73">
        <f>IF(A354&gt;入力設定!$B$6*12,0,IF(AND(ISNUMBER(C354),C354&gt;=0,C354&lt;=1),0,1))</f>
        <v>0</v>
      </c>
    </row>
    <row r="355" spans="1:32" ht="21" customHeight="1">
      <c r="A355" s="68">
        <f>350</f>
        <v>350</v>
      </c>
      <c r="B355" s="69">
        <f>EDATE(入力設定!$B$7,A355-1)</f>
        <v>56949</v>
      </c>
      <c r="C355" s="80">
        <f>INDEX(入力設定!$C$15:$C$24,INT((A355-1)/60)+1)</f>
        <v>0.05</v>
      </c>
      <c r="D355" s="70">
        <f t="shared" ca="1" si="127"/>
        <v>4129259.023096486</v>
      </c>
      <c r="E355" s="70">
        <f t="shared" ca="1" si="128"/>
        <v>31</v>
      </c>
      <c r="F355" s="70">
        <f ca="1">IF(D355+Z355&lt;0.000001,0,IF(D355&lt;0.000001,F354,IF(OR(AE355=1,AND(K354&gt;0,入力設定!$B$8="返済額軽減型",入力設定!$B$11="翌月")),IF(C355=0,D355/MAX(1,E355),D355*(C355/12)/(1-(1+C355/12)^(-MAX(1,E355)))),F354)))</f>
        <v>142266.59803560199</v>
      </c>
      <c r="G355" s="70">
        <f t="shared" ca="1" si="110"/>
        <v>142266.59803560199</v>
      </c>
      <c r="H355" s="70">
        <f t="shared" ca="1" si="111"/>
        <v>17205.245929568693</v>
      </c>
      <c r="I355" s="70">
        <f t="shared" ca="1" si="112"/>
        <v>125061.3521060333</v>
      </c>
      <c r="J355" s="70">
        <f>SUMIFS(入力設定!$G$5:$G$24,入力設定!$F$5:$F$24,A355)</f>
        <v>0</v>
      </c>
      <c r="K355" s="70">
        <f t="shared" ca="1" si="113"/>
        <v>0</v>
      </c>
      <c r="L355" s="70">
        <f ca="1">IF(K355&gt;0,入力設定!$B$9,0)</f>
        <v>0</v>
      </c>
      <c r="M355" s="70">
        <f t="shared" ca="1" si="114"/>
        <v>4004197.6709904526</v>
      </c>
      <c r="N355" s="70">
        <f ca="1">IF(M355+AA355&lt;0.000001,0,IF(AND(K355&gt;0,入力設定!$B$8="期間短縮型",AA355&lt;0.000001,F355&gt;M355*C355/12),MAX(1,MIN(E355-1,IF(C355=0,ROUNDUP(M355/F355,0),ROUNDUP(-LN(1-M355*(C355/12)/F355)/LN(1+C355/12),0)))),MAX(1,E355-1)))</f>
        <v>30</v>
      </c>
      <c r="O355" s="70">
        <f t="shared" ca="1" si="115"/>
        <v>142266.59803560199</v>
      </c>
      <c r="P355" s="70">
        <f t="shared" ca="1" si="129"/>
        <v>9217046.4390953332</v>
      </c>
      <c r="Q355" s="70">
        <f ca="1">IF(OR(A355&gt;入力設定!$B$6*12,P355+AC355&lt;0.000001),0,IF(P355&lt;0.000001,Q354,IF(AE355=1,IF(C355=0,P355/MAX(1,入力設定!$B$6*12-A355+1),P355*(C355/12)/(1-(1+C355/12)^(-MAX(1,入力設定!$B$6*12-A355+1)))),Q354)))</f>
        <v>150233.43899513065</v>
      </c>
      <c r="R355" s="70">
        <f ca="1">IF(P355+AC355&lt;0.000001,0,IF(A355=入力設定!$B$6*12,P355+AB355+AC355,MIN(Q355,P355+AB355+AC355)))</f>
        <v>150233.43899513065</v>
      </c>
      <c r="S355" s="70">
        <f t="shared" ca="1" si="116"/>
        <v>38404.360162897225</v>
      </c>
      <c r="T355" s="70">
        <f t="shared" ca="1" si="117"/>
        <v>111829.07883223343</v>
      </c>
      <c r="U355" s="70">
        <f t="shared" ca="1" si="118"/>
        <v>9105217.3602630999</v>
      </c>
      <c r="V355" s="70">
        <f t="shared" ca="1" si="119"/>
        <v>0</v>
      </c>
      <c r="W355" s="70">
        <f t="shared" ca="1" si="120"/>
        <v>0</v>
      </c>
      <c r="X355" s="70">
        <f t="shared" ca="1" si="121"/>
        <v>0</v>
      </c>
      <c r="Y355" s="71">
        <f t="shared" ca="1" si="122"/>
        <v>17205.245929568693</v>
      </c>
      <c r="Z355" s="71">
        <f t="shared" ca="1" si="130"/>
        <v>0</v>
      </c>
      <c r="AA355" s="71">
        <f t="shared" ca="1" si="123"/>
        <v>0</v>
      </c>
      <c r="AB355" s="71">
        <f t="shared" ca="1" si="124"/>
        <v>38404.360162897225</v>
      </c>
      <c r="AC355" s="71">
        <f t="shared" ca="1" si="131"/>
        <v>0</v>
      </c>
      <c r="AD355" s="71">
        <f t="shared" ca="1" si="125"/>
        <v>0</v>
      </c>
      <c r="AE355" s="72">
        <f t="shared" si="126"/>
        <v>0</v>
      </c>
      <c r="AF355" s="73">
        <f>IF(A355&gt;入力設定!$B$6*12,0,IF(AND(ISNUMBER(C355),C355&gt;=0,C355&lt;=1),0,1))</f>
        <v>0</v>
      </c>
    </row>
    <row r="356" spans="1:32" ht="21" customHeight="1">
      <c r="A356" s="68">
        <f>351</f>
        <v>351</v>
      </c>
      <c r="B356" s="69">
        <f>EDATE(入力設定!$B$7,A356-1)</f>
        <v>56980</v>
      </c>
      <c r="C356" s="80">
        <f>INDEX(入力設定!$C$15:$C$24,INT((A356-1)/60)+1)</f>
        <v>0.05</v>
      </c>
      <c r="D356" s="70">
        <f t="shared" ca="1" si="127"/>
        <v>4004197.6709904526</v>
      </c>
      <c r="E356" s="70">
        <f t="shared" ca="1" si="128"/>
        <v>30</v>
      </c>
      <c r="F356" s="70">
        <f ca="1">IF(D356+Z356&lt;0.000001,0,IF(D356&lt;0.000001,F355,IF(OR(AE356=1,AND(K355&gt;0,入力設定!$B$8="返済額軽減型",入力設定!$B$11="翌月")),IF(C356=0,D356/MAX(1,E356),D356*(C356/12)/(1-(1+C356/12)^(-MAX(1,E356)))),F355)))</f>
        <v>142266.59803560199</v>
      </c>
      <c r="G356" s="70">
        <f t="shared" ca="1" si="110"/>
        <v>142266.59803560199</v>
      </c>
      <c r="H356" s="70">
        <f t="shared" ca="1" si="111"/>
        <v>16684.15696246022</v>
      </c>
      <c r="I356" s="70">
        <f t="shared" ca="1" si="112"/>
        <v>125582.44107314176</v>
      </c>
      <c r="J356" s="70">
        <f>SUMIFS(入力設定!$G$5:$G$24,入力設定!$F$5:$F$24,A356)</f>
        <v>0</v>
      </c>
      <c r="K356" s="70">
        <f t="shared" ca="1" si="113"/>
        <v>0</v>
      </c>
      <c r="L356" s="70">
        <f ca="1">IF(K356&gt;0,入力設定!$B$9,0)</f>
        <v>0</v>
      </c>
      <c r="M356" s="70">
        <f t="shared" ca="1" si="114"/>
        <v>3878615.2299173111</v>
      </c>
      <c r="N356" s="70">
        <f ca="1">IF(M356+AA356&lt;0.000001,0,IF(AND(K356&gt;0,入力設定!$B$8="期間短縮型",AA356&lt;0.000001,F356&gt;M356*C356/12),MAX(1,MIN(E356-1,IF(C356=0,ROUNDUP(M356/F356,0),ROUNDUP(-LN(1-M356*(C356/12)/F356)/LN(1+C356/12),0)))),MAX(1,E356-1)))</f>
        <v>29</v>
      </c>
      <c r="O356" s="70">
        <f t="shared" ca="1" si="115"/>
        <v>142266.59803560199</v>
      </c>
      <c r="P356" s="70">
        <f t="shared" ca="1" si="129"/>
        <v>9105217.3602630999</v>
      </c>
      <c r="Q356" s="70">
        <f ca="1">IF(OR(A356&gt;入力設定!$B$6*12,P356+AC356&lt;0.000001),0,IF(P356&lt;0.000001,Q355,IF(AE356=1,IF(C356=0,P356/MAX(1,入力設定!$B$6*12-A356+1),P356*(C356/12)/(1-(1+C356/12)^(-MAX(1,入力設定!$B$6*12-A356+1)))),Q355)))</f>
        <v>150233.43899513065</v>
      </c>
      <c r="R356" s="70">
        <f ca="1">IF(P356+AC356&lt;0.000001,0,IF(A356=入力設定!$B$6*12,P356+AB356+AC356,MIN(Q356,P356+AB356+AC356)))</f>
        <v>150233.43899513065</v>
      </c>
      <c r="S356" s="70">
        <f t="shared" ca="1" si="116"/>
        <v>37938.40566776292</v>
      </c>
      <c r="T356" s="70">
        <f t="shared" ca="1" si="117"/>
        <v>112295.03332736774</v>
      </c>
      <c r="U356" s="70">
        <f t="shared" ca="1" si="118"/>
        <v>8992922.3269357327</v>
      </c>
      <c r="V356" s="70">
        <f t="shared" ca="1" si="119"/>
        <v>0</v>
      </c>
      <c r="W356" s="70">
        <f t="shared" ca="1" si="120"/>
        <v>0</v>
      </c>
      <c r="X356" s="70">
        <f t="shared" ca="1" si="121"/>
        <v>0</v>
      </c>
      <c r="Y356" s="71">
        <f t="shared" ca="1" si="122"/>
        <v>16684.15696246022</v>
      </c>
      <c r="Z356" s="71">
        <f t="shared" ca="1" si="130"/>
        <v>0</v>
      </c>
      <c r="AA356" s="71">
        <f t="shared" ca="1" si="123"/>
        <v>0</v>
      </c>
      <c r="AB356" s="71">
        <f t="shared" ca="1" si="124"/>
        <v>37938.40566776292</v>
      </c>
      <c r="AC356" s="71">
        <f t="shared" ca="1" si="131"/>
        <v>0</v>
      </c>
      <c r="AD356" s="71">
        <f t="shared" ca="1" si="125"/>
        <v>0</v>
      </c>
      <c r="AE356" s="72">
        <f t="shared" si="126"/>
        <v>0</v>
      </c>
      <c r="AF356" s="73">
        <f>IF(A356&gt;入力設定!$B$6*12,0,IF(AND(ISNUMBER(C356),C356&gt;=0,C356&lt;=1),0,1))</f>
        <v>0</v>
      </c>
    </row>
    <row r="357" spans="1:32" ht="21" customHeight="1">
      <c r="A357" s="68">
        <f>352</f>
        <v>352</v>
      </c>
      <c r="B357" s="69">
        <f>EDATE(入力設定!$B$7,A357-1)</f>
        <v>57011</v>
      </c>
      <c r="C357" s="80">
        <f>INDEX(入力設定!$C$15:$C$24,INT((A357-1)/60)+1)</f>
        <v>0.05</v>
      </c>
      <c r="D357" s="70">
        <f t="shared" ca="1" si="127"/>
        <v>3878615.2299173111</v>
      </c>
      <c r="E357" s="70">
        <f t="shared" ca="1" si="128"/>
        <v>29</v>
      </c>
      <c r="F357" s="70">
        <f ca="1">IF(D357+Z357&lt;0.000001,0,IF(D357&lt;0.000001,F356,IF(OR(AE357=1,AND(K356&gt;0,入力設定!$B$8="返済額軽減型",入力設定!$B$11="翌月")),IF(C357=0,D357/MAX(1,E357),D357*(C357/12)/(1-(1+C357/12)^(-MAX(1,E357)))),F356)))</f>
        <v>142266.59803560199</v>
      </c>
      <c r="G357" s="70">
        <f t="shared" ca="1" si="110"/>
        <v>142266.59803560199</v>
      </c>
      <c r="H357" s="70">
        <f t="shared" ca="1" si="111"/>
        <v>16160.89679132213</v>
      </c>
      <c r="I357" s="70">
        <f t="shared" ca="1" si="112"/>
        <v>126105.70124427986</v>
      </c>
      <c r="J357" s="70">
        <f>SUMIFS(入力設定!$G$5:$G$24,入力設定!$F$5:$F$24,A357)</f>
        <v>0</v>
      </c>
      <c r="K357" s="70">
        <f t="shared" ca="1" si="113"/>
        <v>0</v>
      </c>
      <c r="L357" s="70">
        <f ca="1">IF(K357&gt;0,入力設定!$B$9,0)</f>
        <v>0</v>
      </c>
      <c r="M357" s="70">
        <f t="shared" ca="1" si="114"/>
        <v>3752509.5286730314</v>
      </c>
      <c r="N357" s="70">
        <f ca="1">IF(M357+AA357&lt;0.000001,0,IF(AND(K357&gt;0,入力設定!$B$8="期間短縮型",AA357&lt;0.000001,F357&gt;M357*C357/12),MAX(1,MIN(E357-1,IF(C357=0,ROUNDUP(M357/F357,0),ROUNDUP(-LN(1-M357*(C357/12)/F357)/LN(1+C357/12),0)))),MAX(1,E357-1)))</f>
        <v>28</v>
      </c>
      <c r="O357" s="70">
        <f t="shared" ca="1" si="115"/>
        <v>142266.59803560199</v>
      </c>
      <c r="P357" s="70">
        <f t="shared" ca="1" si="129"/>
        <v>8992922.3269357327</v>
      </c>
      <c r="Q357" s="70">
        <f ca="1">IF(OR(A357&gt;入力設定!$B$6*12,P357+AC357&lt;0.000001),0,IF(P357&lt;0.000001,Q356,IF(AE357=1,IF(C357=0,P357/MAX(1,入力設定!$B$6*12-A357+1),P357*(C357/12)/(1-(1+C357/12)^(-MAX(1,入力設定!$B$6*12-A357+1)))),Q356)))</f>
        <v>150233.43899513065</v>
      </c>
      <c r="R357" s="70">
        <f ca="1">IF(P357+AC357&lt;0.000001,0,IF(A357=入力設定!$B$6*12,P357+AB357+AC357,MIN(Q357,P357+AB357+AC357)))</f>
        <v>150233.43899513065</v>
      </c>
      <c r="S357" s="70">
        <f t="shared" ca="1" si="116"/>
        <v>37470.509695565554</v>
      </c>
      <c r="T357" s="70">
        <f t="shared" ca="1" si="117"/>
        <v>112762.92929956509</v>
      </c>
      <c r="U357" s="70">
        <f t="shared" ca="1" si="118"/>
        <v>8880159.3976361677</v>
      </c>
      <c r="V357" s="70">
        <f t="shared" ca="1" si="119"/>
        <v>0</v>
      </c>
      <c r="W357" s="70">
        <f t="shared" ca="1" si="120"/>
        <v>0</v>
      </c>
      <c r="X357" s="70">
        <f t="shared" ca="1" si="121"/>
        <v>0</v>
      </c>
      <c r="Y357" s="71">
        <f t="shared" ca="1" si="122"/>
        <v>16160.89679132213</v>
      </c>
      <c r="Z357" s="71">
        <f t="shared" ca="1" si="130"/>
        <v>0</v>
      </c>
      <c r="AA357" s="71">
        <f t="shared" ca="1" si="123"/>
        <v>0</v>
      </c>
      <c r="AB357" s="71">
        <f t="shared" ca="1" si="124"/>
        <v>37470.509695565554</v>
      </c>
      <c r="AC357" s="71">
        <f t="shared" ca="1" si="131"/>
        <v>0</v>
      </c>
      <c r="AD357" s="71">
        <f t="shared" ca="1" si="125"/>
        <v>0</v>
      </c>
      <c r="AE357" s="72">
        <f t="shared" si="126"/>
        <v>0</v>
      </c>
      <c r="AF357" s="73">
        <f>IF(A357&gt;入力設定!$B$6*12,0,IF(AND(ISNUMBER(C357),C357&gt;=0,C357&lt;=1),0,1))</f>
        <v>0</v>
      </c>
    </row>
    <row r="358" spans="1:32" ht="21" customHeight="1">
      <c r="A358" s="68">
        <f>353</f>
        <v>353</v>
      </c>
      <c r="B358" s="69">
        <f>EDATE(入力設定!$B$7,A358-1)</f>
        <v>57040</v>
      </c>
      <c r="C358" s="80">
        <f>INDEX(入力設定!$C$15:$C$24,INT((A358-1)/60)+1)</f>
        <v>0.05</v>
      </c>
      <c r="D358" s="70">
        <f t="shared" ca="1" si="127"/>
        <v>3752509.5286730314</v>
      </c>
      <c r="E358" s="70">
        <f t="shared" ca="1" si="128"/>
        <v>28</v>
      </c>
      <c r="F358" s="70">
        <f ca="1">IF(D358+Z358&lt;0.000001,0,IF(D358&lt;0.000001,F357,IF(OR(AE358=1,AND(K357&gt;0,入力設定!$B$8="返済額軽減型",入力設定!$B$11="翌月")),IF(C358=0,D358/MAX(1,E358),D358*(C358/12)/(1-(1+C358/12)^(-MAX(1,E358)))),F357)))</f>
        <v>142266.59803560199</v>
      </c>
      <c r="G358" s="70">
        <f t="shared" ca="1" si="110"/>
        <v>142266.59803560199</v>
      </c>
      <c r="H358" s="70">
        <f t="shared" ca="1" si="111"/>
        <v>15635.456369470965</v>
      </c>
      <c r="I358" s="70">
        <f t="shared" ca="1" si="112"/>
        <v>126631.14166613102</v>
      </c>
      <c r="J358" s="70">
        <f>SUMIFS(入力設定!$G$5:$G$24,入力設定!$F$5:$F$24,A358)</f>
        <v>0</v>
      </c>
      <c r="K358" s="70">
        <f t="shared" ca="1" si="113"/>
        <v>0</v>
      </c>
      <c r="L358" s="70">
        <f ca="1">IF(K358&gt;0,入力設定!$B$9,0)</f>
        <v>0</v>
      </c>
      <c r="M358" s="70">
        <f t="shared" ca="1" si="114"/>
        <v>3625878.3870069003</v>
      </c>
      <c r="N358" s="70">
        <f ca="1">IF(M358+AA358&lt;0.000001,0,IF(AND(K358&gt;0,入力設定!$B$8="期間短縮型",AA358&lt;0.000001,F358&gt;M358*C358/12),MAX(1,MIN(E358-1,IF(C358=0,ROUNDUP(M358/F358,0),ROUNDUP(-LN(1-M358*(C358/12)/F358)/LN(1+C358/12),0)))),MAX(1,E358-1)))</f>
        <v>27</v>
      </c>
      <c r="O358" s="70">
        <f t="shared" ca="1" si="115"/>
        <v>142266.59803560199</v>
      </c>
      <c r="P358" s="70">
        <f t="shared" ca="1" si="129"/>
        <v>8880159.3976361677</v>
      </c>
      <c r="Q358" s="70">
        <f ca="1">IF(OR(A358&gt;入力設定!$B$6*12,P358+AC358&lt;0.000001),0,IF(P358&lt;0.000001,Q357,IF(AE358=1,IF(C358=0,P358/MAX(1,入力設定!$B$6*12-A358+1),P358*(C358/12)/(1-(1+C358/12)^(-MAX(1,入力設定!$B$6*12-A358+1)))),Q357)))</f>
        <v>150233.43899513065</v>
      </c>
      <c r="R358" s="70">
        <f ca="1">IF(P358+AC358&lt;0.000001,0,IF(A358=入力設定!$B$6*12,P358+AB358+AC358,MIN(Q358,P358+AB358+AC358)))</f>
        <v>150233.43899513065</v>
      </c>
      <c r="S358" s="70">
        <f t="shared" ca="1" si="116"/>
        <v>37000.664156817365</v>
      </c>
      <c r="T358" s="70">
        <f t="shared" ca="1" si="117"/>
        <v>113232.77483831329</v>
      </c>
      <c r="U358" s="70">
        <f t="shared" ca="1" si="118"/>
        <v>8766926.6227978542</v>
      </c>
      <c r="V358" s="70">
        <f t="shared" ca="1" si="119"/>
        <v>0</v>
      </c>
      <c r="W358" s="70">
        <f t="shared" ca="1" si="120"/>
        <v>0</v>
      </c>
      <c r="X358" s="70">
        <f t="shared" ca="1" si="121"/>
        <v>0</v>
      </c>
      <c r="Y358" s="71">
        <f t="shared" ca="1" si="122"/>
        <v>15635.456369470965</v>
      </c>
      <c r="Z358" s="71">
        <f t="shared" ca="1" si="130"/>
        <v>0</v>
      </c>
      <c r="AA358" s="71">
        <f t="shared" ca="1" si="123"/>
        <v>0</v>
      </c>
      <c r="AB358" s="71">
        <f t="shared" ca="1" si="124"/>
        <v>37000.664156817365</v>
      </c>
      <c r="AC358" s="71">
        <f t="shared" ca="1" si="131"/>
        <v>0</v>
      </c>
      <c r="AD358" s="71">
        <f t="shared" ca="1" si="125"/>
        <v>0</v>
      </c>
      <c r="AE358" s="72">
        <f t="shared" si="126"/>
        <v>0</v>
      </c>
      <c r="AF358" s="73">
        <f>IF(A358&gt;入力設定!$B$6*12,0,IF(AND(ISNUMBER(C358),C358&gt;=0,C358&lt;=1),0,1))</f>
        <v>0</v>
      </c>
    </row>
    <row r="359" spans="1:32" ht="21" customHeight="1">
      <c r="A359" s="68">
        <f>354</f>
        <v>354</v>
      </c>
      <c r="B359" s="69">
        <f>EDATE(入力設定!$B$7,A359-1)</f>
        <v>57071</v>
      </c>
      <c r="C359" s="80">
        <f>INDEX(入力設定!$C$15:$C$24,INT((A359-1)/60)+1)</f>
        <v>0.05</v>
      </c>
      <c r="D359" s="70">
        <f t="shared" ca="1" si="127"/>
        <v>3625878.3870069003</v>
      </c>
      <c r="E359" s="70">
        <f t="shared" ca="1" si="128"/>
        <v>27</v>
      </c>
      <c r="F359" s="70">
        <f ca="1">IF(D359+Z359&lt;0.000001,0,IF(D359&lt;0.000001,F358,IF(OR(AE359=1,AND(K358&gt;0,入力設定!$B$8="返済額軽減型",入力設定!$B$11="翌月")),IF(C359=0,D359/MAX(1,E359),D359*(C359/12)/(1-(1+C359/12)^(-MAX(1,E359)))),F358)))</f>
        <v>142266.59803560199</v>
      </c>
      <c r="G359" s="70">
        <f t="shared" ca="1" si="110"/>
        <v>142266.59803560199</v>
      </c>
      <c r="H359" s="70">
        <f t="shared" ca="1" si="111"/>
        <v>15107.826612528754</v>
      </c>
      <c r="I359" s="70">
        <f t="shared" ca="1" si="112"/>
        <v>127158.77142307324</v>
      </c>
      <c r="J359" s="70">
        <f>SUMIFS(入力設定!$G$5:$G$24,入力設定!$F$5:$F$24,A359)</f>
        <v>0</v>
      </c>
      <c r="K359" s="70">
        <f t="shared" ca="1" si="113"/>
        <v>0</v>
      </c>
      <c r="L359" s="70">
        <f ca="1">IF(K359&gt;0,入力設定!$B$9,0)</f>
        <v>0</v>
      </c>
      <c r="M359" s="70">
        <f t="shared" ca="1" si="114"/>
        <v>3498719.6155838273</v>
      </c>
      <c r="N359" s="70">
        <f ca="1">IF(M359+AA359&lt;0.000001,0,IF(AND(K359&gt;0,入力設定!$B$8="期間短縮型",AA359&lt;0.000001,F359&gt;M359*C359/12),MAX(1,MIN(E359-1,IF(C359=0,ROUNDUP(M359/F359,0),ROUNDUP(-LN(1-M359*(C359/12)/F359)/LN(1+C359/12),0)))),MAX(1,E359-1)))</f>
        <v>26</v>
      </c>
      <c r="O359" s="70">
        <f t="shared" ca="1" si="115"/>
        <v>142266.59803560199</v>
      </c>
      <c r="P359" s="70">
        <f t="shared" ca="1" si="129"/>
        <v>8766926.6227978542</v>
      </c>
      <c r="Q359" s="70">
        <f ca="1">IF(OR(A359&gt;入力設定!$B$6*12,P359+AC359&lt;0.000001),0,IF(P359&lt;0.000001,Q358,IF(AE359=1,IF(C359=0,P359/MAX(1,入力設定!$B$6*12-A359+1),P359*(C359/12)/(1-(1+C359/12)^(-MAX(1,入力設定!$B$6*12-A359+1)))),Q358)))</f>
        <v>150233.43899513065</v>
      </c>
      <c r="R359" s="70">
        <f ca="1">IF(P359+AC359&lt;0.000001,0,IF(A359=入力設定!$B$6*12,P359+AB359+AC359,MIN(Q359,P359+AB359+AC359)))</f>
        <v>150233.43899513065</v>
      </c>
      <c r="S359" s="70">
        <f t="shared" ca="1" si="116"/>
        <v>36528.860928324393</v>
      </c>
      <c r="T359" s="70">
        <f t="shared" ca="1" si="117"/>
        <v>113704.57806680625</v>
      </c>
      <c r="U359" s="70">
        <f t="shared" ca="1" si="118"/>
        <v>8653222.0447310489</v>
      </c>
      <c r="V359" s="70">
        <f t="shared" ca="1" si="119"/>
        <v>0</v>
      </c>
      <c r="W359" s="70">
        <f t="shared" ca="1" si="120"/>
        <v>0</v>
      </c>
      <c r="X359" s="70">
        <f t="shared" ca="1" si="121"/>
        <v>0</v>
      </c>
      <c r="Y359" s="71">
        <f t="shared" ca="1" si="122"/>
        <v>15107.826612528754</v>
      </c>
      <c r="Z359" s="71">
        <f t="shared" ca="1" si="130"/>
        <v>0</v>
      </c>
      <c r="AA359" s="71">
        <f t="shared" ca="1" si="123"/>
        <v>0</v>
      </c>
      <c r="AB359" s="71">
        <f t="shared" ca="1" si="124"/>
        <v>36528.860928324393</v>
      </c>
      <c r="AC359" s="71">
        <f t="shared" ca="1" si="131"/>
        <v>0</v>
      </c>
      <c r="AD359" s="71">
        <f t="shared" ca="1" si="125"/>
        <v>0</v>
      </c>
      <c r="AE359" s="72">
        <f t="shared" si="126"/>
        <v>0</v>
      </c>
      <c r="AF359" s="73">
        <f>IF(A359&gt;入力設定!$B$6*12,0,IF(AND(ISNUMBER(C359),C359&gt;=0,C359&lt;=1),0,1))</f>
        <v>0</v>
      </c>
    </row>
    <row r="360" spans="1:32" ht="21" customHeight="1">
      <c r="A360" s="68">
        <f>355</f>
        <v>355</v>
      </c>
      <c r="B360" s="69">
        <f>EDATE(入力設定!$B$7,A360-1)</f>
        <v>57101</v>
      </c>
      <c r="C360" s="80">
        <f>INDEX(入力設定!$C$15:$C$24,INT((A360-1)/60)+1)</f>
        <v>0.05</v>
      </c>
      <c r="D360" s="70">
        <f t="shared" ca="1" si="127"/>
        <v>3498719.6155838273</v>
      </c>
      <c r="E360" s="70">
        <f t="shared" ca="1" si="128"/>
        <v>26</v>
      </c>
      <c r="F360" s="70">
        <f ca="1">IF(D360+Z360&lt;0.000001,0,IF(D360&lt;0.000001,F359,IF(OR(AE360=1,AND(K359&gt;0,入力設定!$B$8="返済額軽減型",入力設定!$B$11="翌月")),IF(C360=0,D360/MAX(1,E360),D360*(C360/12)/(1-(1+C360/12)^(-MAX(1,E360)))),F359)))</f>
        <v>142266.59803560199</v>
      </c>
      <c r="G360" s="70">
        <f t="shared" ca="1" si="110"/>
        <v>142266.59803560199</v>
      </c>
      <c r="H360" s="70">
        <f t="shared" ca="1" si="111"/>
        <v>14577.998398265947</v>
      </c>
      <c r="I360" s="70">
        <f t="shared" ca="1" si="112"/>
        <v>127688.59963733604</v>
      </c>
      <c r="J360" s="70">
        <f>SUMIFS(入力設定!$G$5:$G$24,入力設定!$F$5:$F$24,A360)</f>
        <v>0</v>
      </c>
      <c r="K360" s="70">
        <f t="shared" ca="1" si="113"/>
        <v>0</v>
      </c>
      <c r="L360" s="70">
        <f ca="1">IF(K360&gt;0,入力設定!$B$9,0)</f>
        <v>0</v>
      </c>
      <c r="M360" s="70">
        <f t="shared" ca="1" si="114"/>
        <v>3371031.0159464912</v>
      </c>
      <c r="N360" s="70">
        <f ca="1">IF(M360+AA360&lt;0.000001,0,IF(AND(K360&gt;0,入力設定!$B$8="期間短縮型",AA360&lt;0.000001,F360&gt;M360*C360/12),MAX(1,MIN(E360-1,IF(C360=0,ROUNDUP(M360/F360,0),ROUNDUP(-LN(1-M360*(C360/12)/F360)/LN(1+C360/12),0)))),MAX(1,E360-1)))</f>
        <v>25</v>
      </c>
      <c r="O360" s="70">
        <f t="shared" ca="1" si="115"/>
        <v>142266.59803560199</v>
      </c>
      <c r="P360" s="70">
        <f t="shared" ca="1" si="129"/>
        <v>8653222.0447310489</v>
      </c>
      <c r="Q360" s="70">
        <f ca="1">IF(OR(A360&gt;入力設定!$B$6*12,P360+AC360&lt;0.000001),0,IF(P360&lt;0.000001,Q359,IF(AE360=1,IF(C360=0,P360/MAX(1,入力設定!$B$6*12-A360+1),P360*(C360/12)/(1-(1+C360/12)^(-MAX(1,入力設定!$B$6*12-A360+1)))),Q359)))</f>
        <v>150233.43899513065</v>
      </c>
      <c r="R360" s="70">
        <f ca="1">IF(P360+AC360&lt;0.000001,0,IF(A360=入力設定!$B$6*12,P360+AB360+AC360,MIN(Q360,P360+AB360+AC360)))</f>
        <v>150233.43899513065</v>
      </c>
      <c r="S360" s="70">
        <f t="shared" ca="1" si="116"/>
        <v>36055.09185304604</v>
      </c>
      <c r="T360" s="70">
        <f t="shared" ca="1" si="117"/>
        <v>114178.34714208462</v>
      </c>
      <c r="U360" s="70">
        <f t="shared" ca="1" si="118"/>
        <v>8539043.6975889634</v>
      </c>
      <c r="V360" s="70">
        <f t="shared" ca="1" si="119"/>
        <v>0</v>
      </c>
      <c r="W360" s="70">
        <f t="shared" ca="1" si="120"/>
        <v>0</v>
      </c>
      <c r="X360" s="70">
        <f t="shared" ca="1" si="121"/>
        <v>0</v>
      </c>
      <c r="Y360" s="71">
        <f t="shared" ca="1" si="122"/>
        <v>14577.998398265947</v>
      </c>
      <c r="Z360" s="71">
        <f t="shared" ca="1" si="130"/>
        <v>0</v>
      </c>
      <c r="AA360" s="71">
        <f t="shared" ca="1" si="123"/>
        <v>0</v>
      </c>
      <c r="AB360" s="71">
        <f t="shared" ca="1" si="124"/>
        <v>36055.09185304604</v>
      </c>
      <c r="AC360" s="71">
        <f t="shared" ca="1" si="131"/>
        <v>0</v>
      </c>
      <c r="AD360" s="71">
        <f t="shared" ca="1" si="125"/>
        <v>0</v>
      </c>
      <c r="AE360" s="72">
        <f t="shared" si="126"/>
        <v>0</v>
      </c>
      <c r="AF360" s="73">
        <f>IF(A360&gt;入力設定!$B$6*12,0,IF(AND(ISNUMBER(C360),C360&gt;=0,C360&lt;=1),0,1))</f>
        <v>0</v>
      </c>
    </row>
    <row r="361" spans="1:32" ht="21" customHeight="1">
      <c r="A361" s="68">
        <f>356</f>
        <v>356</v>
      </c>
      <c r="B361" s="69">
        <f>EDATE(入力設定!$B$7,A361-1)</f>
        <v>57132</v>
      </c>
      <c r="C361" s="80">
        <f>INDEX(入力設定!$C$15:$C$24,INT((A361-1)/60)+1)</f>
        <v>0.05</v>
      </c>
      <c r="D361" s="70">
        <f t="shared" ca="1" si="127"/>
        <v>3371031.0159464912</v>
      </c>
      <c r="E361" s="70">
        <f t="shared" ca="1" si="128"/>
        <v>25</v>
      </c>
      <c r="F361" s="70">
        <f ca="1">IF(D361+Z361&lt;0.000001,0,IF(D361&lt;0.000001,F360,IF(OR(AE361=1,AND(K360&gt;0,入力設定!$B$8="返済額軽減型",入力設定!$B$11="翌月")),IF(C361=0,D361/MAX(1,E361),D361*(C361/12)/(1-(1+C361/12)^(-MAX(1,E361)))),F360)))</f>
        <v>142266.59803560199</v>
      </c>
      <c r="G361" s="70">
        <f t="shared" ca="1" si="110"/>
        <v>142266.59803560199</v>
      </c>
      <c r="H361" s="70">
        <f t="shared" ca="1" si="111"/>
        <v>14045.962566443714</v>
      </c>
      <c r="I361" s="70">
        <f t="shared" ca="1" si="112"/>
        <v>128220.63546915827</v>
      </c>
      <c r="J361" s="70">
        <f>SUMIFS(入力設定!$G$5:$G$24,入力設定!$F$5:$F$24,A361)</f>
        <v>0</v>
      </c>
      <c r="K361" s="70">
        <f t="shared" ca="1" si="113"/>
        <v>0</v>
      </c>
      <c r="L361" s="70">
        <f ca="1">IF(K361&gt;0,入力設定!$B$9,0)</f>
        <v>0</v>
      </c>
      <c r="M361" s="70">
        <f t="shared" ca="1" si="114"/>
        <v>3242810.380477333</v>
      </c>
      <c r="N361" s="70">
        <f ca="1">IF(M361+AA361&lt;0.000001,0,IF(AND(K361&gt;0,入力設定!$B$8="期間短縮型",AA361&lt;0.000001,F361&gt;M361*C361/12),MAX(1,MIN(E361-1,IF(C361=0,ROUNDUP(M361/F361,0),ROUNDUP(-LN(1-M361*(C361/12)/F361)/LN(1+C361/12),0)))),MAX(1,E361-1)))</f>
        <v>24</v>
      </c>
      <c r="O361" s="70">
        <f t="shared" ca="1" si="115"/>
        <v>142266.59803560199</v>
      </c>
      <c r="P361" s="70">
        <f t="shared" ca="1" si="129"/>
        <v>8539043.6975889634</v>
      </c>
      <c r="Q361" s="70">
        <f ca="1">IF(OR(A361&gt;入力設定!$B$6*12,P361+AC361&lt;0.000001),0,IF(P361&lt;0.000001,Q360,IF(AE361=1,IF(C361=0,P361/MAX(1,入力設定!$B$6*12-A361+1),P361*(C361/12)/(1-(1+C361/12)^(-MAX(1,入力設定!$B$6*12-A361+1)))),Q360)))</f>
        <v>150233.43899513065</v>
      </c>
      <c r="R361" s="70">
        <f ca="1">IF(P361+AC361&lt;0.000001,0,IF(A361=入力設定!$B$6*12,P361+AB361+AC361,MIN(Q361,P361+AB361+AC361)))</f>
        <v>150233.43899513065</v>
      </c>
      <c r="S361" s="70">
        <f t="shared" ca="1" si="116"/>
        <v>35579.348739954017</v>
      </c>
      <c r="T361" s="70">
        <f t="shared" ca="1" si="117"/>
        <v>114654.09025517663</v>
      </c>
      <c r="U361" s="70">
        <f t="shared" ca="1" si="118"/>
        <v>8424389.6073337868</v>
      </c>
      <c r="V361" s="70">
        <f t="shared" ca="1" si="119"/>
        <v>0</v>
      </c>
      <c r="W361" s="70">
        <f t="shared" ca="1" si="120"/>
        <v>0</v>
      </c>
      <c r="X361" s="70">
        <f t="shared" ca="1" si="121"/>
        <v>0</v>
      </c>
      <c r="Y361" s="71">
        <f t="shared" ca="1" si="122"/>
        <v>14045.962566443714</v>
      </c>
      <c r="Z361" s="71">
        <f t="shared" ca="1" si="130"/>
        <v>0</v>
      </c>
      <c r="AA361" s="71">
        <f t="shared" ca="1" si="123"/>
        <v>0</v>
      </c>
      <c r="AB361" s="71">
        <f t="shared" ca="1" si="124"/>
        <v>35579.348739954017</v>
      </c>
      <c r="AC361" s="71">
        <f t="shared" ca="1" si="131"/>
        <v>0</v>
      </c>
      <c r="AD361" s="71">
        <f t="shared" ca="1" si="125"/>
        <v>0</v>
      </c>
      <c r="AE361" s="72">
        <f t="shared" si="126"/>
        <v>0</v>
      </c>
      <c r="AF361" s="73">
        <f>IF(A361&gt;入力設定!$B$6*12,0,IF(AND(ISNUMBER(C361),C361&gt;=0,C361&lt;=1),0,1))</f>
        <v>0</v>
      </c>
    </row>
    <row r="362" spans="1:32" ht="21" customHeight="1">
      <c r="A362" s="68">
        <f>357</f>
        <v>357</v>
      </c>
      <c r="B362" s="69">
        <f>EDATE(入力設定!$B$7,A362-1)</f>
        <v>57162</v>
      </c>
      <c r="C362" s="80">
        <f>INDEX(入力設定!$C$15:$C$24,INT((A362-1)/60)+1)</f>
        <v>0.05</v>
      </c>
      <c r="D362" s="70">
        <f t="shared" ca="1" si="127"/>
        <v>3242810.380477333</v>
      </c>
      <c r="E362" s="70">
        <f t="shared" ca="1" si="128"/>
        <v>24</v>
      </c>
      <c r="F362" s="70">
        <f ca="1">IF(D362+Z362&lt;0.000001,0,IF(D362&lt;0.000001,F361,IF(OR(AE362=1,AND(K361&gt;0,入力設定!$B$8="返済額軽減型",入力設定!$B$11="翌月")),IF(C362=0,D362/MAX(1,E362),D362*(C362/12)/(1-(1+C362/12)^(-MAX(1,E362)))),F361)))</f>
        <v>142266.59803560199</v>
      </c>
      <c r="G362" s="70">
        <f t="shared" ca="1" si="110"/>
        <v>142266.59803560199</v>
      </c>
      <c r="H362" s="70">
        <f t="shared" ca="1" si="111"/>
        <v>13511.709918655555</v>
      </c>
      <c r="I362" s="70">
        <f t="shared" ca="1" si="112"/>
        <v>128754.88811694643</v>
      </c>
      <c r="J362" s="70">
        <f>SUMIFS(入力設定!$G$5:$G$24,入力設定!$F$5:$F$24,A362)</f>
        <v>0</v>
      </c>
      <c r="K362" s="70">
        <f t="shared" ca="1" si="113"/>
        <v>0</v>
      </c>
      <c r="L362" s="70">
        <f ca="1">IF(K362&gt;0,入力設定!$B$9,0)</f>
        <v>0</v>
      </c>
      <c r="M362" s="70">
        <f t="shared" ca="1" si="114"/>
        <v>3114055.4923603865</v>
      </c>
      <c r="N362" s="70">
        <f ca="1">IF(M362+AA362&lt;0.000001,0,IF(AND(K362&gt;0,入力設定!$B$8="期間短縮型",AA362&lt;0.000001,F362&gt;M362*C362/12),MAX(1,MIN(E362-1,IF(C362=0,ROUNDUP(M362/F362,0),ROUNDUP(-LN(1-M362*(C362/12)/F362)/LN(1+C362/12),0)))),MAX(1,E362-1)))</f>
        <v>23</v>
      </c>
      <c r="O362" s="70">
        <f t="shared" ca="1" si="115"/>
        <v>142266.59803560199</v>
      </c>
      <c r="P362" s="70">
        <f t="shared" ca="1" si="129"/>
        <v>8424389.6073337868</v>
      </c>
      <c r="Q362" s="70">
        <f ca="1">IF(OR(A362&gt;入力設定!$B$6*12,P362+AC362&lt;0.000001),0,IF(P362&lt;0.000001,Q361,IF(AE362=1,IF(C362=0,P362/MAX(1,入力設定!$B$6*12-A362+1),P362*(C362/12)/(1-(1+C362/12)^(-MAX(1,入力設定!$B$6*12-A362+1)))),Q361)))</f>
        <v>150233.43899513065</v>
      </c>
      <c r="R362" s="70">
        <f ca="1">IF(P362+AC362&lt;0.000001,0,IF(A362=入力設定!$B$6*12,P362+AB362+AC362,MIN(Q362,P362+AB362+AC362)))</f>
        <v>150233.43899513065</v>
      </c>
      <c r="S362" s="70">
        <f t="shared" ca="1" si="116"/>
        <v>35101.62336389078</v>
      </c>
      <c r="T362" s="70">
        <f t="shared" ca="1" si="117"/>
        <v>115131.81563123988</v>
      </c>
      <c r="U362" s="70">
        <f t="shared" ca="1" si="118"/>
        <v>8309257.7917025471</v>
      </c>
      <c r="V362" s="70">
        <f t="shared" ca="1" si="119"/>
        <v>0</v>
      </c>
      <c r="W362" s="70">
        <f t="shared" ca="1" si="120"/>
        <v>0</v>
      </c>
      <c r="X362" s="70">
        <f t="shared" ca="1" si="121"/>
        <v>0</v>
      </c>
      <c r="Y362" s="71">
        <f t="shared" ca="1" si="122"/>
        <v>13511.709918655555</v>
      </c>
      <c r="Z362" s="71">
        <f t="shared" ca="1" si="130"/>
        <v>0</v>
      </c>
      <c r="AA362" s="71">
        <f t="shared" ca="1" si="123"/>
        <v>0</v>
      </c>
      <c r="AB362" s="71">
        <f t="shared" ca="1" si="124"/>
        <v>35101.62336389078</v>
      </c>
      <c r="AC362" s="71">
        <f t="shared" ca="1" si="131"/>
        <v>0</v>
      </c>
      <c r="AD362" s="71">
        <f t="shared" ca="1" si="125"/>
        <v>0</v>
      </c>
      <c r="AE362" s="72">
        <f t="shared" si="126"/>
        <v>0</v>
      </c>
      <c r="AF362" s="73">
        <f>IF(A362&gt;入力設定!$B$6*12,0,IF(AND(ISNUMBER(C362),C362&gt;=0,C362&lt;=1),0,1))</f>
        <v>0</v>
      </c>
    </row>
    <row r="363" spans="1:32" ht="21" customHeight="1">
      <c r="A363" s="68">
        <f>358</f>
        <v>358</v>
      </c>
      <c r="B363" s="69">
        <f>EDATE(入力設定!$B$7,A363-1)</f>
        <v>57193</v>
      </c>
      <c r="C363" s="80">
        <f>INDEX(入力設定!$C$15:$C$24,INT((A363-1)/60)+1)</f>
        <v>0.05</v>
      </c>
      <c r="D363" s="70">
        <f t="shared" ca="1" si="127"/>
        <v>3114055.4923603865</v>
      </c>
      <c r="E363" s="70">
        <f t="shared" ca="1" si="128"/>
        <v>23</v>
      </c>
      <c r="F363" s="70">
        <f ca="1">IF(D363+Z363&lt;0.000001,0,IF(D363&lt;0.000001,F362,IF(OR(AE363=1,AND(K362&gt;0,入力設定!$B$8="返済額軽減型",入力設定!$B$11="翌月")),IF(C363=0,D363/MAX(1,E363),D363*(C363/12)/(1-(1+C363/12)^(-MAX(1,E363)))),F362)))</f>
        <v>142266.59803560199</v>
      </c>
      <c r="G363" s="70">
        <f t="shared" ca="1" si="110"/>
        <v>142266.59803560199</v>
      </c>
      <c r="H363" s="70">
        <f t="shared" ca="1" si="111"/>
        <v>12975.231218168277</v>
      </c>
      <c r="I363" s="70">
        <f t="shared" ca="1" si="112"/>
        <v>129291.36681743371</v>
      </c>
      <c r="J363" s="70">
        <f>SUMIFS(入力設定!$G$5:$G$24,入力設定!$F$5:$F$24,A363)</f>
        <v>0</v>
      </c>
      <c r="K363" s="70">
        <f t="shared" ca="1" si="113"/>
        <v>0</v>
      </c>
      <c r="L363" s="70">
        <f ca="1">IF(K363&gt;0,入力設定!$B$9,0)</f>
        <v>0</v>
      </c>
      <c r="M363" s="70">
        <f t="shared" ca="1" si="114"/>
        <v>2984764.1255429527</v>
      </c>
      <c r="N363" s="70">
        <f ca="1">IF(M363+AA363&lt;0.000001,0,IF(AND(K363&gt;0,入力設定!$B$8="期間短縮型",AA363&lt;0.000001,F363&gt;M363*C363/12),MAX(1,MIN(E363-1,IF(C363=0,ROUNDUP(M363/F363,0),ROUNDUP(-LN(1-M363*(C363/12)/F363)/LN(1+C363/12),0)))),MAX(1,E363-1)))</f>
        <v>22</v>
      </c>
      <c r="O363" s="70">
        <f t="shared" ca="1" si="115"/>
        <v>142266.59803560199</v>
      </c>
      <c r="P363" s="70">
        <f t="shared" ca="1" si="129"/>
        <v>8309257.7917025471</v>
      </c>
      <c r="Q363" s="70">
        <f ca="1">IF(OR(A363&gt;入力設定!$B$6*12,P363+AC363&lt;0.000001),0,IF(P363&lt;0.000001,Q362,IF(AE363=1,IF(C363=0,P363/MAX(1,入力設定!$B$6*12-A363+1),P363*(C363/12)/(1-(1+C363/12)^(-MAX(1,入力設定!$B$6*12-A363+1)))),Q362)))</f>
        <v>150233.43899513065</v>
      </c>
      <c r="R363" s="70">
        <f ca="1">IF(P363+AC363&lt;0.000001,0,IF(A363=入力設定!$B$6*12,P363+AB363+AC363,MIN(Q363,P363+AB363+AC363)))</f>
        <v>150233.43899513065</v>
      </c>
      <c r="S363" s="70">
        <f t="shared" ca="1" si="116"/>
        <v>34621.907465427277</v>
      </c>
      <c r="T363" s="70">
        <f t="shared" ca="1" si="117"/>
        <v>115611.53152970338</v>
      </c>
      <c r="U363" s="70">
        <f t="shared" ca="1" si="118"/>
        <v>8193646.2601728439</v>
      </c>
      <c r="V363" s="70">
        <f t="shared" ca="1" si="119"/>
        <v>0</v>
      </c>
      <c r="W363" s="70">
        <f t="shared" ca="1" si="120"/>
        <v>0</v>
      </c>
      <c r="X363" s="70">
        <f t="shared" ca="1" si="121"/>
        <v>0</v>
      </c>
      <c r="Y363" s="71">
        <f t="shared" ca="1" si="122"/>
        <v>12975.231218168277</v>
      </c>
      <c r="Z363" s="71">
        <f t="shared" ca="1" si="130"/>
        <v>0</v>
      </c>
      <c r="AA363" s="71">
        <f t="shared" ca="1" si="123"/>
        <v>0</v>
      </c>
      <c r="AB363" s="71">
        <f t="shared" ca="1" si="124"/>
        <v>34621.907465427277</v>
      </c>
      <c r="AC363" s="71">
        <f t="shared" ca="1" si="131"/>
        <v>0</v>
      </c>
      <c r="AD363" s="71">
        <f t="shared" ca="1" si="125"/>
        <v>0</v>
      </c>
      <c r="AE363" s="72">
        <f t="shared" si="126"/>
        <v>0</v>
      </c>
      <c r="AF363" s="73">
        <f>IF(A363&gt;入力設定!$B$6*12,0,IF(AND(ISNUMBER(C363),C363&gt;=0,C363&lt;=1),0,1))</f>
        <v>0</v>
      </c>
    </row>
    <row r="364" spans="1:32" ht="21" customHeight="1">
      <c r="A364" s="68">
        <f>359</f>
        <v>359</v>
      </c>
      <c r="B364" s="69">
        <f>EDATE(入力設定!$B$7,A364-1)</f>
        <v>57224</v>
      </c>
      <c r="C364" s="80">
        <f>INDEX(入力設定!$C$15:$C$24,INT((A364-1)/60)+1)</f>
        <v>0.05</v>
      </c>
      <c r="D364" s="70">
        <f t="shared" ca="1" si="127"/>
        <v>2984764.1255429527</v>
      </c>
      <c r="E364" s="70">
        <f t="shared" ca="1" si="128"/>
        <v>22</v>
      </c>
      <c r="F364" s="70">
        <f ca="1">IF(D364+Z364&lt;0.000001,0,IF(D364&lt;0.000001,F363,IF(OR(AE364=1,AND(K363&gt;0,入力設定!$B$8="返済額軽減型",入力設定!$B$11="翌月")),IF(C364=0,D364/MAX(1,E364),D364*(C364/12)/(1-(1+C364/12)^(-MAX(1,E364)))),F363)))</f>
        <v>142266.59803560199</v>
      </c>
      <c r="G364" s="70">
        <f t="shared" ca="1" si="110"/>
        <v>142266.59803560199</v>
      </c>
      <c r="H364" s="70">
        <f t="shared" ca="1" si="111"/>
        <v>12436.517189762302</v>
      </c>
      <c r="I364" s="70">
        <f t="shared" ca="1" si="112"/>
        <v>129830.08084583968</v>
      </c>
      <c r="J364" s="70">
        <f>SUMIFS(入力設定!$G$5:$G$24,入力設定!$F$5:$F$24,A364)</f>
        <v>0</v>
      </c>
      <c r="K364" s="70">
        <f t="shared" ca="1" si="113"/>
        <v>0</v>
      </c>
      <c r="L364" s="70">
        <f ca="1">IF(K364&gt;0,入力設定!$B$9,0)</f>
        <v>0</v>
      </c>
      <c r="M364" s="70">
        <f t="shared" ca="1" si="114"/>
        <v>2854934.0446971129</v>
      </c>
      <c r="N364" s="70">
        <f ca="1">IF(M364+AA364&lt;0.000001,0,IF(AND(K364&gt;0,入力設定!$B$8="期間短縮型",AA364&lt;0.000001,F364&gt;M364*C364/12),MAX(1,MIN(E364-1,IF(C364=0,ROUNDUP(M364/F364,0),ROUNDUP(-LN(1-M364*(C364/12)/F364)/LN(1+C364/12),0)))),MAX(1,E364-1)))</f>
        <v>21</v>
      </c>
      <c r="O364" s="70">
        <f t="shared" ca="1" si="115"/>
        <v>142266.59803560199</v>
      </c>
      <c r="P364" s="70">
        <f t="shared" ca="1" si="129"/>
        <v>8193646.2601728439</v>
      </c>
      <c r="Q364" s="70">
        <f ca="1">IF(OR(A364&gt;入力設定!$B$6*12,P364+AC364&lt;0.000001),0,IF(P364&lt;0.000001,Q363,IF(AE364=1,IF(C364=0,P364/MAX(1,入力設定!$B$6*12-A364+1),P364*(C364/12)/(1-(1+C364/12)^(-MAX(1,入力設定!$B$6*12-A364+1)))),Q363)))</f>
        <v>150233.43899513065</v>
      </c>
      <c r="R364" s="70">
        <f ca="1">IF(P364+AC364&lt;0.000001,0,IF(A364=入力設定!$B$6*12,P364+AB364+AC364,MIN(Q364,P364+AB364+AC364)))</f>
        <v>150233.43899513065</v>
      </c>
      <c r="S364" s="70">
        <f t="shared" ca="1" si="116"/>
        <v>34140.192750720184</v>
      </c>
      <c r="T364" s="70">
        <f t="shared" ca="1" si="117"/>
        <v>116093.24624441046</v>
      </c>
      <c r="U364" s="70">
        <f t="shared" ca="1" si="118"/>
        <v>8077553.0139284339</v>
      </c>
      <c r="V364" s="70">
        <f t="shared" ca="1" si="119"/>
        <v>0</v>
      </c>
      <c r="W364" s="70">
        <f t="shared" ca="1" si="120"/>
        <v>0</v>
      </c>
      <c r="X364" s="70">
        <f t="shared" ca="1" si="121"/>
        <v>0</v>
      </c>
      <c r="Y364" s="71">
        <f t="shared" ca="1" si="122"/>
        <v>12436.517189762302</v>
      </c>
      <c r="Z364" s="71">
        <f t="shared" ca="1" si="130"/>
        <v>0</v>
      </c>
      <c r="AA364" s="71">
        <f t="shared" ca="1" si="123"/>
        <v>0</v>
      </c>
      <c r="AB364" s="71">
        <f t="shared" ca="1" si="124"/>
        <v>34140.192750720184</v>
      </c>
      <c r="AC364" s="71">
        <f t="shared" ca="1" si="131"/>
        <v>0</v>
      </c>
      <c r="AD364" s="71">
        <f t="shared" ca="1" si="125"/>
        <v>0</v>
      </c>
      <c r="AE364" s="72">
        <f t="shared" si="126"/>
        <v>0</v>
      </c>
      <c r="AF364" s="73">
        <f>IF(A364&gt;入力設定!$B$6*12,0,IF(AND(ISNUMBER(C364),C364&gt;=0,C364&lt;=1),0,1))</f>
        <v>0</v>
      </c>
    </row>
    <row r="365" spans="1:32" ht="21" customHeight="1">
      <c r="A365" s="68">
        <f>360</f>
        <v>360</v>
      </c>
      <c r="B365" s="69">
        <f>EDATE(入力設定!$B$7,A365-1)</f>
        <v>57254</v>
      </c>
      <c r="C365" s="80">
        <f>INDEX(入力設定!$C$15:$C$24,INT((A365-1)/60)+1)</f>
        <v>0.05</v>
      </c>
      <c r="D365" s="70">
        <f t="shared" ca="1" si="127"/>
        <v>2854934.0446971129</v>
      </c>
      <c r="E365" s="70">
        <f t="shared" ca="1" si="128"/>
        <v>21</v>
      </c>
      <c r="F365" s="70">
        <f ca="1">IF(D365+Z365&lt;0.000001,0,IF(D365&lt;0.000001,F364,IF(OR(AE365=1,AND(K364&gt;0,入力設定!$B$8="返済額軽減型",入力設定!$B$11="翌月")),IF(C365=0,D365/MAX(1,E365),D365*(C365/12)/(1-(1+C365/12)^(-MAX(1,E365)))),F364)))</f>
        <v>142266.59803560199</v>
      </c>
      <c r="G365" s="70">
        <f t="shared" ca="1" si="110"/>
        <v>142266.59803560199</v>
      </c>
      <c r="H365" s="70">
        <f t="shared" ca="1" si="111"/>
        <v>11895.558519571305</v>
      </c>
      <c r="I365" s="70">
        <f t="shared" ca="1" si="112"/>
        <v>130371.03951603068</v>
      </c>
      <c r="J365" s="70">
        <f>SUMIFS(入力設定!$G$5:$G$24,入力設定!$F$5:$F$24,A365)</f>
        <v>0</v>
      </c>
      <c r="K365" s="70">
        <f t="shared" ca="1" si="113"/>
        <v>0</v>
      </c>
      <c r="L365" s="70">
        <f ca="1">IF(K365&gt;0,入力設定!$B$9,0)</f>
        <v>0</v>
      </c>
      <c r="M365" s="70">
        <f t="shared" ca="1" si="114"/>
        <v>2724563.0051810821</v>
      </c>
      <c r="N365" s="70">
        <f ca="1">IF(M365+AA365&lt;0.000001,0,IF(AND(K365&gt;0,入力設定!$B$8="期間短縮型",AA365&lt;0.000001,F365&gt;M365*C365/12),MAX(1,MIN(E365-1,IF(C365=0,ROUNDUP(M365/F365,0),ROUNDUP(-LN(1-M365*(C365/12)/F365)/LN(1+C365/12),0)))),MAX(1,E365-1)))</f>
        <v>20</v>
      </c>
      <c r="O365" s="70">
        <f t="shared" ca="1" si="115"/>
        <v>142266.59803560199</v>
      </c>
      <c r="P365" s="70">
        <f t="shared" ca="1" si="129"/>
        <v>8077553.0139284339</v>
      </c>
      <c r="Q365" s="70">
        <f ca="1">IF(OR(A365&gt;入力設定!$B$6*12,P365+AC365&lt;0.000001),0,IF(P365&lt;0.000001,Q364,IF(AE365=1,IF(C365=0,P365/MAX(1,入力設定!$B$6*12-A365+1),P365*(C365/12)/(1-(1+C365/12)^(-MAX(1,入力設定!$B$6*12-A365+1)))),Q364)))</f>
        <v>150233.43899513065</v>
      </c>
      <c r="R365" s="70">
        <f ca="1">IF(P365+AC365&lt;0.000001,0,IF(A365=入力設定!$B$6*12,P365+AB365+AC365,MIN(Q365,P365+AB365+AC365)))</f>
        <v>150233.43899513065</v>
      </c>
      <c r="S365" s="70">
        <f t="shared" ca="1" si="116"/>
        <v>33656.470891368481</v>
      </c>
      <c r="T365" s="70">
        <f t="shared" ca="1" si="117"/>
        <v>116576.96810376216</v>
      </c>
      <c r="U365" s="70">
        <f t="shared" ca="1" si="118"/>
        <v>7960976.0458246721</v>
      </c>
      <c r="V365" s="70">
        <f t="shared" ca="1" si="119"/>
        <v>0</v>
      </c>
      <c r="W365" s="70">
        <f t="shared" ca="1" si="120"/>
        <v>0</v>
      </c>
      <c r="X365" s="70">
        <f t="shared" ca="1" si="121"/>
        <v>0</v>
      </c>
      <c r="Y365" s="71">
        <f t="shared" ca="1" si="122"/>
        <v>11895.558519571305</v>
      </c>
      <c r="Z365" s="71">
        <f t="shared" ca="1" si="130"/>
        <v>0</v>
      </c>
      <c r="AA365" s="71">
        <f t="shared" ca="1" si="123"/>
        <v>0</v>
      </c>
      <c r="AB365" s="71">
        <f t="shared" ca="1" si="124"/>
        <v>33656.470891368481</v>
      </c>
      <c r="AC365" s="71">
        <f t="shared" ca="1" si="131"/>
        <v>0</v>
      </c>
      <c r="AD365" s="71">
        <f t="shared" ca="1" si="125"/>
        <v>0</v>
      </c>
      <c r="AE365" s="72">
        <f t="shared" si="126"/>
        <v>0</v>
      </c>
      <c r="AF365" s="73">
        <f>IF(A365&gt;入力設定!$B$6*12,0,IF(AND(ISNUMBER(C365),C365&gt;=0,C365&lt;=1),0,1))</f>
        <v>0</v>
      </c>
    </row>
    <row r="366" spans="1:32" ht="21" customHeight="1">
      <c r="A366" s="68">
        <f>361</f>
        <v>361</v>
      </c>
      <c r="B366" s="69">
        <f>EDATE(入力設定!$B$7,A366-1)</f>
        <v>57285</v>
      </c>
      <c r="C366" s="80">
        <f>INDEX(入力設定!$C$15:$C$24,INT((A366-1)/60)+1)</f>
        <v>0.05</v>
      </c>
      <c r="D366" s="70">
        <f t="shared" ca="1" si="127"/>
        <v>2724563.0051810821</v>
      </c>
      <c r="E366" s="70">
        <f t="shared" ca="1" si="128"/>
        <v>20</v>
      </c>
      <c r="F366" s="70">
        <f ca="1">IF(D366+Z366&lt;0.000001,0,IF(D366&lt;0.000001,F365,IF(OR(AE366=1,AND(K365&gt;0,入力設定!$B$8="返済額軽減型",入力設定!$B$11="翌月")),IF(C366=0,D366/MAX(1,E366),D366*(C366/12)/(1-(1+C366/12)^(-MAX(1,E366)))),F365)))</f>
        <v>142266.59803560362</v>
      </c>
      <c r="G366" s="70">
        <f t="shared" ca="1" si="110"/>
        <v>142266.59803560362</v>
      </c>
      <c r="H366" s="70">
        <f t="shared" ca="1" si="111"/>
        <v>11352.345854921177</v>
      </c>
      <c r="I366" s="70">
        <f t="shared" ca="1" si="112"/>
        <v>130914.25218068244</v>
      </c>
      <c r="J366" s="70">
        <f>SUMIFS(入力設定!$G$5:$G$24,入力設定!$F$5:$F$24,A366)</f>
        <v>0</v>
      </c>
      <c r="K366" s="70">
        <f t="shared" ca="1" si="113"/>
        <v>0</v>
      </c>
      <c r="L366" s="70">
        <f ca="1">IF(K366&gt;0,入力設定!$B$9,0)</f>
        <v>0</v>
      </c>
      <c r="M366" s="70">
        <f t="shared" ca="1" si="114"/>
        <v>2593648.7530003996</v>
      </c>
      <c r="N366" s="70">
        <f ca="1">IF(M366+AA366&lt;0.000001,0,IF(AND(K366&gt;0,入力設定!$B$8="期間短縮型",AA366&lt;0.000001,F366&gt;M366*C366/12),MAX(1,MIN(E366-1,IF(C366=0,ROUNDUP(M366/F366,0),ROUNDUP(-LN(1-M366*(C366/12)/F366)/LN(1+C366/12),0)))),MAX(1,E366-1)))</f>
        <v>19</v>
      </c>
      <c r="O366" s="70">
        <f t="shared" ca="1" si="115"/>
        <v>142266.59803560362</v>
      </c>
      <c r="P366" s="70">
        <f t="shared" ca="1" si="129"/>
        <v>7960976.0458246721</v>
      </c>
      <c r="Q366" s="70">
        <f ca="1">IF(OR(A366&gt;入力設定!$B$6*12,P366+AC366&lt;0.000001),0,IF(P366&lt;0.000001,Q365,IF(AE366=1,IF(C366=0,P366/MAX(1,入力設定!$B$6*12-A366+1),P366*(C366/12)/(1-(1+C366/12)^(-MAX(1,入力設定!$B$6*12-A366+1)))),Q365)))</f>
        <v>150233.43899513123</v>
      </c>
      <c r="R366" s="70">
        <f ca="1">IF(P366+AC366&lt;0.000001,0,IF(A366=入力設定!$B$6*12,P366+AB366+AC366,MIN(Q366,P366+AB366+AC366)))</f>
        <v>150233.43899513123</v>
      </c>
      <c r="S366" s="70">
        <f t="shared" ca="1" si="116"/>
        <v>33170.733524269468</v>
      </c>
      <c r="T366" s="70">
        <f t="shared" ca="1" si="117"/>
        <v>117062.70547086177</v>
      </c>
      <c r="U366" s="70">
        <f t="shared" ca="1" si="118"/>
        <v>7843913.3403538102</v>
      </c>
      <c r="V366" s="70">
        <f t="shared" ca="1" si="119"/>
        <v>0</v>
      </c>
      <c r="W366" s="70">
        <f t="shared" ca="1" si="120"/>
        <v>0</v>
      </c>
      <c r="X366" s="70">
        <f t="shared" ca="1" si="121"/>
        <v>0</v>
      </c>
      <c r="Y366" s="71">
        <f t="shared" ca="1" si="122"/>
        <v>11352.345854921177</v>
      </c>
      <c r="Z366" s="71">
        <f t="shared" ca="1" si="130"/>
        <v>0</v>
      </c>
      <c r="AA366" s="71">
        <f t="shared" ca="1" si="123"/>
        <v>0</v>
      </c>
      <c r="AB366" s="71">
        <f t="shared" ca="1" si="124"/>
        <v>33170.733524269468</v>
      </c>
      <c r="AC366" s="71">
        <f t="shared" ca="1" si="131"/>
        <v>0</v>
      </c>
      <c r="AD366" s="71">
        <f t="shared" ca="1" si="125"/>
        <v>0</v>
      </c>
      <c r="AE366" s="72">
        <f t="shared" si="126"/>
        <v>1</v>
      </c>
      <c r="AF366" s="73">
        <f>IF(A366&gt;入力設定!$B$6*12,0,IF(AND(ISNUMBER(C366),C366&gt;=0,C366&lt;=1),0,1))</f>
        <v>0</v>
      </c>
    </row>
    <row r="367" spans="1:32" ht="21" customHeight="1">
      <c r="A367" s="68">
        <f>362</f>
        <v>362</v>
      </c>
      <c r="B367" s="69">
        <f>EDATE(入力設定!$B$7,A367-1)</f>
        <v>57315</v>
      </c>
      <c r="C367" s="80">
        <f>INDEX(入力設定!$C$15:$C$24,INT((A367-1)/60)+1)</f>
        <v>0.05</v>
      </c>
      <c r="D367" s="70">
        <f t="shared" ca="1" si="127"/>
        <v>2593648.7530003996</v>
      </c>
      <c r="E367" s="70">
        <f t="shared" ca="1" si="128"/>
        <v>19</v>
      </c>
      <c r="F367" s="70">
        <f ca="1">IF(D367+Z367&lt;0.000001,0,IF(D367&lt;0.000001,F366,IF(OR(AE367=1,AND(K366&gt;0,入力設定!$B$8="返済額軽減型",入力設定!$B$11="翌月")),IF(C367=0,D367/MAX(1,E367),D367*(C367/12)/(1-(1+C367/12)^(-MAX(1,E367)))),F366)))</f>
        <v>142266.59803560362</v>
      </c>
      <c r="G367" s="70">
        <f t="shared" ca="1" si="110"/>
        <v>142266.59803560362</v>
      </c>
      <c r="H367" s="70">
        <f t="shared" ca="1" si="111"/>
        <v>10806.869804168333</v>
      </c>
      <c r="I367" s="70">
        <f t="shared" ca="1" si="112"/>
        <v>131459.72823143529</v>
      </c>
      <c r="J367" s="70">
        <f>SUMIFS(入力設定!$G$5:$G$24,入力設定!$F$5:$F$24,A367)</f>
        <v>0</v>
      </c>
      <c r="K367" s="70">
        <f t="shared" ca="1" si="113"/>
        <v>0</v>
      </c>
      <c r="L367" s="70">
        <f ca="1">IF(K367&gt;0,入力設定!$B$9,0)</f>
        <v>0</v>
      </c>
      <c r="M367" s="70">
        <f t="shared" ca="1" si="114"/>
        <v>2462189.0247689644</v>
      </c>
      <c r="N367" s="70">
        <f ca="1">IF(M367+AA367&lt;0.000001,0,IF(AND(K367&gt;0,入力設定!$B$8="期間短縮型",AA367&lt;0.000001,F367&gt;M367*C367/12),MAX(1,MIN(E367-1,IF(C367=0,ROUNDUP(M367/F367,0),ROUNDUP(-LN(1-M367*(C367/12)/F367)/LN(1+C367/12),0)))),MAX(1,E367-1)))</f>
        <v>18</v>
      </c>
      <c r="O367" s="70">
        <f t="shared" ca="1" si="115"/>
        <v>142266.59803560362</v>
      </c>
      <c r="P367" s="70">
        <f t="shared" ca="1" si="129"/>
        <v>7843913.3403538102</v>
      </c>
      <c r="Q367" s="70">
        <f ca="1">IF(OR(A367&gt;入力設定!$B$6*12,P367+AC367&lt;0.000001),0,IF(P367&lt;0.000001,Q366,IF(AE367=1,IF(C367=0,P367/MAX(1,入力設定!$B$6*12-A367+1),P367*(C367/12)/(1-(1+C367/12)^(-MAX(1,入力設定!$B$6*12-A367+1)))),Q366)))</f>
        <v>150233.43899513123</v>
      </c>
      <c r="R367" s="70">
        <f ca="1">IF(P367+AC367&lt;0.000001,0,IF(A367=入力設定!$B$6*12,P367+AB367+AC367,MIN(Q367,P367+AB367+AC367)))</f>
        <v>150233.43899513123</v>
      </c>
      <c r="S367" s="70">
        <f t="shared" ca="1" si="116"/>
        <v>32682.972251474213</v>
      </c>
      <c r="T367" s="70">
        <f t="shared" ca="1" si="117"/>
        <v>117550.46674365702</v>
      </c>
      <c r="U367" s="70">
        <f t="shared" ca="1" si="118"/>
        <v>7726362.8736101529</v>
      </c>
      <c r="V367" s="70">
        <f t="shared" ca="1" si="119"/>
        <v>0</v>
      </c>
      <c r="W367" s="70">
        <f t="shared" ca="1" si="120"/>
        <v>0</v>
      </c>
      <c r="X367" s="70">
        <f t="shared" ca="1" si="121"/>
        <v>0</v>
      </c>
      <c r="Y367" s="71">
        <f t="shared" ca="1" si="122"/>
        <v>10806.869804168333</v>
      </c>
      <c r="Z367" s="71">
        <f t="shared" ca="1" si="130"/>
        <v>0</v>
      </c>
      <c r="AA367" s="71">
        <f t="shared" ca="1" si="123"/>
        <v>0</v>
      </c>
      <c r="AB367" s="71">
        <f t="shared" ca="1" si="124"/>
        <v>32682.972251474213</v>
      </c>
      <c r="AC367" s="71">
        <f t="shared" ca="1" si="131"/>
        <v>0</v>
      </c>
      <c r="AD367" s="71">
        <f t="shared" ca="1" si="125"/>
        <v>0</v>
      </c>
      <c r="AE367" s="72">
        <f t="shared" si="126"/>
        <v>0</v>
      </c>
      <c r="AF367" s="73">
        <f>IF(A367&gt;入力設定!$B$6*12,0,IF(AND(ISNUMBER(C367),C367&gt;=0,C367&lt;=1),0,1))</f>
        <v>0</v>
      </c>
    </row>
    <row r="368" spans="1:32" ht="21" customHeight="1">
      <c r="A368" s="68">
        <f>363</f>
        <v>363</v>
      </c>
      <c r="B368" s="69">
        <f>EDATE(入力設定!$B$7,A368-1)</f>
        <v>57346</v>
      </c>
      <c r="C368" s="80">
        <f>INDEX(入力設定!$C$15:$C$24,INT((A368-1)/60)+1)</f>
        <v>0.05</v>
      </c>
      <c r="D368" s="70">
        <f t="shared" ca="1" si="127"/>
        <v>2462189.0247689644</v>
      </c>
      <c r="E368" s="70">
        <f t="shared" ca="1" si="128"/>
        <v>18</v>
      </c>
      <c r="F368" s="70">
        <f ca="1">IF(D368+Z368&lt;0.000001,0,IF(D368&lt;0.000001,F367,IF(OR(AE368=1,AND(K367&gt;0,入力設定!$B$8="返済額軽減型",入力設定!$B$11="翌月")),IF(C368=0,D368/MAX(1,E368),D368*(C368/12)/(1-(1+C368/12)^(-MAX(1,E368)))),F367)))</f>
        <v>142266.59803560362</v>
      </c>
      <c r="G368" s="70">
        <f t="shared" ca="1" si="110"/>
        <v>142266.59803560362</v>
      </c>
      <c r="H368" s="70">
        <f t="shared" ca="1" si="111"/>
        <v>10259.120936537352</v>
      </c>
      <c r="I368" s="70">
        <f t="shared" ca="1" si="112"/>
        <v>132007.47709906625</v>
      </c>
      <c r="J368" s="70">
        <f>SUMIFS(入力設定!$G$5:$G$24,入力設定!$F$5:$F$24,A368)</f>
        <v>0</v>
      </c>
      <c r="K368" s="70">
        <f t="shared" ca="1" si="113"/>
        <v>0</v>
      </c>
      <c r="L368" s="70">
        <f ca="1">IF(K368&gt;0,入力設定!$B$9,0)</f>
        <v>0</v>
      </c>
      <c r="M368" s="70">
        <f t="shared" ca="1" si="114"/>
        <v>2330181.5476698983</v>
      </c>
      <c r="N368" s="70">
        <f ca="1">IF(M368+AA368&lt;0.000001,0,IF(AND(K368&gt;0,入力設定!$B$8="期間短縮型",AA368&lt;0.000001,F368&gt;M368*C368/12),MAX(1,MIN(E368-1,IF(C368=0,ROUNDUP(M368/F368,0),ROUNDUP(-LN(1-M368*(C368/12)/F368)/LN(1+C368/12),0)))),MAX(1,E368-1)))</f>
        <v>17</v>
      </c>
      <c r="O368" s="70">
        <f t="shared" ca="1" si="115"/>
        <v>142266.59803560362</v>
      </c>
      <c r="P368" s="70">
        <f t="shared" ca="1" si="129"/>
        <v>7726362.8736101529</v>
      </c>
      <c r="Q368" s="70">
        <f ca="1">IF(OR(A368&gt;入力設定!$B$6*12,P368+AC368&lt;0.000001),0,IF(P368&lt;0.000001,Q367,IF(AE368=1,IF(C368=0,P368/MAX(1,入力設定!$B$6*12-A368+1),P368*(C368/12)/(1-(1+C368/12)^(-MAX(1,入力設定!$B$6*12-A368+1)))),Q367)))</f>
        <v>150233.43899513123</v>
      </c>
      <c r="R368" s="70">
        <f ca="1">IF(P368+AC368&lt;0.000001,0,IF(A368=入力設定!$B$6*12,P368+AB368+AC368,MIN(Q368,P368+AB368+AC368)))</f>
        <v>150233.43899513123</v>
      </c>
      <c r="S368" s="70">
        <f t="shared" ca="1" si="116"/>
        <v>32193.178640042304</v>
      </c>
      <c r="T368" s="70">
        <f t="shared" ca="1" si="117"/>
        <v>118040.26035508893</v>
      </c>
      <c r="U368" s="70">
        <f t="shared" ca="1" si="118"/>
        <v>7608322.613255064</v>
      </c>
      <c r="V368" s="70">
        <f t="shared" ca="1" si="119"/>
        <v>0</v>
      </c>
      <c r="W368" s="70">
        <f t="shared" ca="1" si="120"/>
        <v>0</v>
      </c>
      <c r="X368" s="70">
        <f t="shared" ca="1" si="121"/>
        <v>0</v>
      </c>
      <c r="Y368" s="71">
        <f t="shared" ca="1" si="122"/>
        <v>10259.120936537352</v>
      </c>
      <c r="Z368" s="71">
        <f t="shared" ca="1" si="130"/>
        <v>0</v>
      </c>
      <c r="AA368" s="71">
        <f t="shared" ca="1" si="123"/>
        <v>0</v>
      </c>
      <c r="AB368" s="71">
        <f t="shared" ca="1" si="124"/>
        <v>32193.178640042304</v>
      </c>
      <c r="AC368" s="71">
        <f t="shared" ca="1" si="131"/>
        <v>0</v>
      </c>
      <c r="AD368" s="71">
        <f t="shared" ca="1" si="125"/>
        <v>0</v>
      </c>
      <c r="AE368" s="72">
        <f t="shared" si="126"/>
        <v>0</v>
      </c>
      <c r="AF368" s="73">
        <f>IF(A368&gt;入力設定!$B$6*12,0,IF(AND(ISNUMBER(C368),C368&gt;=0,C368&lt;=1),0,1))</f>
        <v>0</v>
      </c>
    </row>
    <row r="369" spans="1:32" ht="21" customHeight="1">
      <c r="A369" s="68">
        <f>364</f>
        <v>364</v>
      </c>
      <c r="B369" s="69">
        <f>EDATE(入力設定!$B$7,A369-1)</f>
        <v>57377</v>
      </c>
      <c r="C369" s="80">
        <f>INDEX(入力設定!$C$15:$C$24,INT((A369-1)/60)+1)</f>
        <v>0.05</v>
      </c>
      <c r="D369" s="70">
        <f t="shared" ca="1" si="127"/>
        <v>2330181.5476698983</v>
      </c>
      <c r="E369" s="70">
        <f t="shared" ca="1" si="128"/>
        <v>17</v>
      </c>
      <c r="F369" s="70">
        <f ca="1">IF(D369+Z369&lt;0.000001,0,IF(D369&lt;0.000001,F368,IF(OR(AE369=1,AND(K368&gt;0,入力設定!$B$8="返済額軽減型",入力設定!$B$11="翌月")),IF(C369=0,D369/MAX(1,E369),D369*(C369/12)/(1-(1+C369/12)^(-MAX(1,E369)))),F368)))</f>
        <v>142266.59803560362</v>
      </c>
      <c r="G369" s="70">
        <f t="shared" ca="1" si="110"/>
        <v>142266.59803560362</v>
      </c>
      <c r="H369" s="70">
        <f t="shared" ca="1" si="111"/>
        <v>9709.0897819579095</v>
      </c>
      <c r="I369" s="70">
        <f t="shared" ca="1" si="112"/>
        <v>132557.5082536457</v>
      </c>
      <c r="J369" s="70">
        <f>SUMIFS(入力設定!$G$5:$G$24,入力設定!$F$5:$F$24,A369)</f>
        <v>0</v>
      </c>
      <c r="K369" s="70">
        <f t="shared" ca="1" si="113"/>
        <v>0</v>
      </c>
      <c r="L369" s="70">
        <f ca="1">IF(K369&gt;0,入力設定!$B$9,0)</f>
        <v>0</v>
      </c>
      <c r="M369" s="70">
        <f t="shared" ca="1" si="114"/>
        <v>2197624.0394162526</v>
      </c>
      <c r="N369" s="70">
        <f ca="1">IF(M369+AA369&lt;0.000001,0,IF(AND(K369&gt;0,入力設定!$B$8="期間短縮型",AA369&lt;0.000001,F369&gt;M369*C369/12),MAX(1,MIN(E369-1,IF(C369=0,ROUNDUP(M369/F369,0),ROUNDUP(-LN(1-M369*(C369/12)/F369)/LN(1+C369/12),0)))),MAX(1,E369-1)))</f>
        <v>16</v>
      </c>
      <c r="O369" s="70">
        <f t="shared" ca="1" si="115"/>
        <v>142266.59803560362</v>
      </c>
      <c r="P369" s="70">
        <f t="shared" ca="1" si="129"/>
        <v>7608322.613255064</v>
      </c>
      <c r="Q369" s="70">
        <f ca="1">IF(OR(A369&gt;入力設定!$B$6*12,P369+AC369&lt;0.000001),0,IF(P369&lt;0.000001,Q368,IF(AE369=1,IF(C369=0,P369/MAX(1,入力設定!$B$6*12-A369+1),P369*(C369/12)/(1-(1+C369/12)^(-MAX(1,入力設定!$B$6*12-A369+1)))),Q368)))</f>
        <v>150233.43899513123</v>
      </c>
      <c r="R369" s="70">
        <f ca="1">IF(P369+AC369&lt;0.000001,0,IF(A369=入力設定!$B$6*12,P369+AB369+AC369,MIN(Q369,P369+AB369+AC369)))</f>
        <v>150233.43899513123</v>
      </c>
      <c r="S369" s="70">
        <f t="shared" ca="1" si="116"/>
        <v>31701.344221896103</v>
      </c>
      <c r="T369" s="70">
        <f t="shared" ca="1" si="117"/>
        <v>118532.09477323513</v>
      </c>
      <c r="U369" s="70">
        <f t="shared" ca="1" si="118"/>
        <v>7489790.5184818292</v>
      </c>
      <c r="V369" s="70">
        <f t="shared" ca="1" si="119"/>
        <v>0</v>
      </c>
      <c r="W369" s="70">
        <f t="shared" ca="1" si="120"/>
        <v>0</v>
      </c>
      <c r="X369" s="70">
        <f t="shared" ca="1" si="121"/>
        <v>0</v>
      </c>
      <c r="Y369" s="71">
        <f t="shared" ca="1" si="122"/>
        <v>9709.0897819579095</v>
      </c>
      <c r="Z369" s="71">
        <f t="shared" ca="1" si="130"/>
        <v>0</v>
      </c>
      <c r="AA369" s="71">
        <f t="shared" ca="1" si="123"/>
        <v>0</v>
      </c>
      <c r="AB369" s="71">
        <f t="shared" ca="1" si="124"/>
        <v>31701.344221896103</v>
      </c>
      <c r="AC369" s="71">
        <f t="shared" ca="1" si="131"/>
        <v>0</v>
      </c>
      <c r="AD369" s="71">
        <f t="shared" ca="1" si="125"/>
        <v>0</v>
      </c>
      <c r="AE369" s="72">
        <f t="shared" si="126"/>
        <v>0</v>
      </c>
      <c r="AF369" s="73">
        <f>IF(A369&gt;入力設定!$B$6*12,0,IF(AND(ISNUMBER(C369),C369&gt;=0,C369&lt;=1),0,1))</f>
        <v>0</v>
      </c>
    </row>
    <row r="370" spans="1:32" ht="21" customHeight="1">
      <c r="A370" s="68">
        <f>365</f>
        <v>365</v>
      </c>
      <c r="B370" s="69">
        <f>EDATE(入力設定!$B$7,A370-1)</f>
        <v>57405</v>
      </c>
      <c r="C370" s="80">
        <f>INDEX(入力設定!$C$15:$C$24,INT((A370-1)/60)+1)</f>
        <v>0.05</v>
      </c>
      <c r="D370" s="70">
        <f t="shared" ca="1" si="127"/>
        <v>2197624.0394162526</v>
      </c>
      <c r="E370" s="70">
        <f t="shared" ca="1" si="128"/>
        <v>16</v>
      </c>
      <c r="F370" s="70">
        <f ca="1">IF(D370+Z370&lt;0.000001,0,IF(D370&lt;0.000001,F369,IF(OR(AE370=1,AND(K369&gt;0,入力設定!$B$8="返済額軽減型",入力設定!$B$11="翌月")),IF(C370=0,D370/MAX(1,E370),D370*(C370/12)/(1-(1+C370/12)^(-MAX(1,E370)))),F369)))</f>
        <v>142266.59803560362</v>
      </c>
      <c r="G370" s="70">
        <f t="shared" ca="1" si="110"/>
        <v>142266.59803560362</v>
      </c>
      <c r="H370" s="70">
        <f t="shared" ca="1" si="111"/>
        <v>9156.7668309010533</v>
      </c>
      <c r="I370" s="70">
        <f t="shared" ca="1" si="112"/>
        <v>133109.83120470255</v>
      </c>
      <c r="J370" s="70">
        <f>SUMIFS(入力設定!$G$5:$G$24,入力設定!$F$5:$F$24,A370)</f>
        <v>0</v>
      </c>
      <c r="K370" s="70">
        <f t="shared" ca="1" si="113"/>
        <v>0</v>
      </c>
      <c r="L370" s="70">
        <f ca="1">IF(K370&gt;0,入力設定!$B$9,0)</f>
        <v>0</v>
      </c>
      <c r="M370" s="70">
        <f t="shared" ca="1" si="114"/>
        <v>2064514.20821155</v>
      </c>
      <c r="N370" s="70">
        <f ca="1">IF(M370+AA370&lt;0.000001,0,IF(AND(K370&gt;0,入力設定!$B$8="期間短縮型",AA370&lt;0.000001,F370&gt;M370*C370/12),MAX(1,MIN(E370-1,IF(C370=0,ROUNDUP(M370/F370,0),ROUNDUP(-LN(1-M370*(C370/12)/F370)/LN(1+C370/12),0)))),MAX(1,E370-1)))</f>
        <v>15</v>
      </c>
      <c r="O370" s="70">
        <f t="shared" ca="1" si="115"/>
        <v>142266.59803560362</v>
      </c>
      <c r="P370" s="70">
        <f t="shared" ca="1" si="129"/>
        <v>7489790.5184818292</v>
      </c>
      <c r="Q370" s="70">
        <f ca="1">IF(OR(A370&gt;入力設定!$B$6*12,P370+AC370&lt;0.000001),0,IF(P370&lt;0.000001,Q369,IF(AE370=1,IF(C370=0,P370/MAX(1,入力設定!$B$6*12-A370+1),P370*(C370/12)/(1-(1+C370/12)^(-MAX(1,入力設定!$B$6*12-A370+1)))),Q369)))</f>
        <v>150233.43899513123</v>
      </c>
      <c r="R370" s="70">
        <f ca="1">IF(P370+AC370&lt;0.000001,0,IF(A370=入力設定!$B$6*12,P370+AB370+AC370,MIN(Q370,P370+AB370+AC370)))</f>
        <v>150233.43899513123</v>
      </c>
      <c r="S370" s="70">
        <f t="shared" ca="1" si="116"/>
        <v>31207.460493674287</v>
      </c>
      <c r="T370" s="70">
        <f t="shared" ca="1" si="117"/>
        <v>119025.97850145695</v>
      </c>
      <c r="U370" s="70">
        <f t="shared" ca="1" si="118"/>
        <v>7370764.5399803724</v>
      </c>
      <c r="V370" s="70">
        <f t="shared" ca="1" si="119"/>
        <v>0</v>
      </c>
      <c r="W370" s="70">
        <f t="shared" ca="1" si="120"/>
        <v>0</v>
      </c>
      <c r="X370" s="70">
        <f t="shared" ca="1" si="121"/>
        <v>0</v>
      </c>
      <c r="Y370" s="71">
        <f t="shared" ca="1" si="122"/>
        <v>9156.7668309010533</v>
      </c>
      <c r="Z370" s="71">
        <f t="shared" ca="1" si="130"/>
        <v>0</v>
      </c>
      <c r="AA370" s="71">
        <f t="shared" ca="1" si="123"/>
        <v>0</v>
      </c>
      <c r="AB370" s="71">
        <f t="shared" ca="1" si="124"/>
        <v>31207.460493674287</v>
      </c>
      <c r="AC370" s="71">
        <f t="shared" ca="1" si="131"/>
        <v>0</v>
      </c>
      <c r="AD370" s="71">
        <f t="shared" ca="1" si="125"/>
        <v>0</v>
      </c>
      <c r="AE370" s="72">
        <f t="shared" si="126"/>
        <v>0</v>
      </c>
      <c r="AF370" s="73">
        <f>IF(A370&gt;入力設定!$B$6*12,0,IF(AND(ISNUMBER(C370),C370&gt;=0,C370&lt;=1),0,1))</f>
        <v>0</v>
      </c>
    </row>
    <row r="371" spans="1:32" ht="21" customHeight="1">
      <c r="A371" s="68">
        <f>366</f>
        <v>366</v>
      </c>
      <c r="B371" s="69">
        <f>EDATE(入力設定!$B$7,A371-1)</f>
        <v>57436</v>
      </c>
      <c r="C371" s="80">
        <f>INDEX(入力設定!$C$15:$C$24,INT((A371-1)/60)+1)</f>
        <v>0.05</v>
      </c>
      <c r="D371" s="70">
        <f t="shared" ca="1" si="127"/>
        <v>2064514.20821155</v>
      </c>
      <c r="E371" s="70">
        <f t="shared" ca="1" si="128"/>
        <v>15</v>
      </c>
      <c r="F371" s="70">
        <f ca="1">IF(D371+Z371&lt;0.000001,0,IF(D371&lt;0.000001,F370,IF(OR(AE371=1,AND(K370&gt;0,入力設定!$B$8="返済額軽減型",入力設定!$B$11="翌月")),IF(C371=0,D371/MAX(1,E371),D371*(C371/12)/(1-(1+C371/12)^(-MAX(1,E371)))),F370)))</f>
        <v>142266.59803560362</v>
      </c>
      <c r="G371" s="70">
        <f t="shared" ca="1" si="110"/>
        <v>142266.59803560362</v>
      </c>
      <c r="H371" s="70">
        <f t="shared" ca="1" si="111"/>
        <v>8602.1425342147922</v>
      </c>
      <c r="I371" s="70">
        <f t="shared" ca="1" si="112"/>
        <v>133664.45550138882</v>
      </c>
      <c r="J371" s="70">
        <f>SUMIFS(入力設定!$G$5:$G$24,入力設定!$F$5:$F$24,A371)</f>
        <v>0</v>
      </c>
      <c r="K371" s="70">
        <f t="shared" ca="1" si="113"/>
        <v>0</v>
      </c>
      <c r="L371" s="70">
        <f ca="1">IF(K371&gt;0,入力設定!$B$9,0)</f>
        <v>0</v>
      </c>
      <c r="M371" s="70">
        <f t="shared" ca="1" si="114"/>
        <v>1930849.7527101613</v>
      </c>
      <c r="N371" s="70">
        <f ca="1">IF(M371+AA371&lt;0.000001,0,IF(AND(K371&gt;0,入力設定!$B$8="期間短縮型",AA371&lt;0.000001,F371&gt;M371*C371/12),MAX(1,MIN(E371-1,IF(C371=0,ROUNDUP(M371/F371,0),ROUNDUP(-LN(1-M371*(C371/12)/F371)/LN(1+C371/12),0)))),MAX(1,E371-1)))</f>
        <v>14</v>
      </c>
      <c r="O371" s="70">
        <f t="shared" ca="1" si="115"/>
        <v>142266.59803560362</v>
      </c>
      <c r="P371" s="70">
        <f t="shared" ca="1" si="129"/>
        <v>7370764.5399803724</v>
      </c>
      <c r="Q371" s="70">
        <f ca="1">IF(OR(A371&gt;入力設定!$B$6*12,P371+AC371&lt;0.000001),0,IF(P371&lt;0.000001,Q370,IF(AE371=1,IF(C371=0,P371/MAX(1,入力設定!$B$6*12-A371+1),P371*(C371/12)/(1-(1+C371/12)^(-MAX(1,入力設定!$B$6*12-A371+1)))),Q370)))</f>
        <v>150233.43899513123</v>
      </c>
      <c r="R371" s="70">
        <f ca="1">IF(P371+AC371&lt;0.000001,0,IF(A371=入力設定!$B$6*12,P371+AB371+AC371,MIN(Q371,P371+AB371+AC371)))</f>
        <v>150233.43899513123</v>
      </c>
      <c r="S371" s="70">
        <f t="shared" ca="1" si="116"/>
        <v>30711.518916584886</v>
      </c>
      <c r="T371" s="70">
        <f t="shared" ca="1" si="117"/>
        <v>119521.92007854635</v>
      </c>
      <c r="U371" s="70">
        <f t="shared" ca="1" si="118"/>
        <v>7251242.6199018257</v>
      </c>
      <c r="V371" s="70">
        <f t="shared" ca="1" si="119"/>
        <v>0</v>
      </c>
      <c r="W371" s="70">
        <f t="shared" ca="1" si="120"/>
        <v>0</v>
      </c>
      <c r="X371" s="70">
        <f t="shared" ca="1" si="121"/>
        <v>0</v>
      </c>
      <c r="Y371" s="71">
        <f t="shared" ca="1" si="122"/>
        <v>8602.1425342147922</v>
      </c>
      <c r="Z371" s="71">
        <f t="shared" ca="1" si="130"/>
        <v>0</v>
      </c>
      <c r="AA371" s="71">
        <f t="shared" ca="1" si="123"/>
        <v>0</v>
      </c>
      <c r="AB371" s="71">
        <f t="shared" ca="1" si="124"/>
        <v>30711.518916584886</v>
      </c>
      <c r="AC371" s="71">
        <f t="shared" ca="1" si="131"/>
        <v>0</v>
      </c>
      <c r="AD371" s="71">
        <f t="shared" ca="1" si="125"/>
        <v>0</v>
      </c>
      <c r="AE371" s="72">
        <f t="shared" si="126"/>
        <v>0</v>
      </c>
      <c r="AF371" s="73">
        <f>IF(A371&gt;入力設定!$B$6*12,0,IF(AND(ISNUMBER(C371),C371&gt;=0,C371&lt;=1),0,1))</f>
        <v>0</v>
      </c>
    </row>
    <row r="372" spans="1:32" ht="21" customHeight="1">
      <c r="A372" s="68">
        <f>367</f>
        <v>367</v>
      </c>
      <c r="B372" s="69">
        <f>EDATE(入力設定!$B$7,A372-1)</f>
        <v>57466</v>
      </c>
      <c r="C372" s="80">
        <f>INDEX(入力設定!$C$15:$C$24,INT((A372-1)/60)+1)</f>
        <v>0.05</v>
      </c>
      <c r="D372" s="70">
        <f t="shared" ca="1" si="127"/>
        <v>1930849.7527101613</v>
      </c>
      <c r="E372" s="70">
        <f t="shared" ca="1" si="128"/>
        <v>14</v>
      </c>
      <c r="F372" s="70">
        <f ca="1">IF(D372+Z372&lt;0.000001,0,IF(D372&lt;0.000001,F371,IF(OR(AE372=1,AND(K371&gt;0,入力設定!$B$8="返済額軽減型",入力設定!$B$11="翌月")),IF(C372=0,D372/MAX(1,E372),D372*(C372/12)/(1-(1+C372/12)^(-MAX(1,E372)))),F371)))</f>
        <v>142266.59803560362</v>
      </c>
      <c r="G372" s="70">
        <f t="shared" ca="1" si="110"/>
        <v>142266.59803560362</v>
      </c>
      <c r="H372" s="70">
        <f t="shared" ca="1" si="111"/>
        <v>8045.2073029590056</v>
      </c>
      <c r="I372" s="70">
        <f t="shared" ca="1" si="112"/>
        <v>134221.39073264462</v>
      </c>
      <c r="J372" s="70">
        <f>SUMIFS(入力設定!$G$5:$G$24,入力設定!$F$5:$F$24,A372)</f>
        <v>0</v>
      </c>
      <c r="K372" s="70">
        <f t="shared" ca="1" si="113"/>
        <v>0</v>
      </c>
      <c r="L372" s="70">
        <f ca="1">IF(K372&gt;0,入力設定!$B$9,0)</f>
        <v>0</v>
      </c>
      <c r="M372" s="70">
        <f t="shared" ca="1" si="114"/>
        <v>1796628.3619775167</v>
      </c>
      <c r="N372" s="70">
        <f ca="1">IF(M372+AA372&lt;0.000001,0,IF(AND(K372&gt;0,入力設定!$B$8="期間短縮型",AA372&lt;0.000001,F372&gt;M372*C372/12),MAX(1,MIN(E372-1,IF(C372=0,ROUNDUP(M372/F372,0),ROUNDUP(-LN(1-M372*(C372/12)/F372)/LN(1+C372/12),0)))),MAX(1,E372-1)))</f>
        <v>13</v>
      </c>
      <c r="O372" s="70">
        <f t="shared" ca="1" si="115"/>
        <v>142266.59803560362</v>
      </c>
      <c r="P372" s="70">
        <f t="shared" ca="1" si="129"/>
        <v>7251242.6199018257</v>
      </c>
      <c r="Q372" s="70">
        <f ca="1">IF(OR(A372&gt;入力設定!$B$6*12,P372+AC372&lt;0.000001),0,IF(P372&lt;0.000001,Q371,IF(AE372=1,IF(C372=0,P372/MAX(1,入力設定!$B$6*12-A372+1),P372*(C372/12)/(1-(1+C372/12)^(-MAX(1,入力設定!$B$6*12-A372+1)))),Q371)))</f>
        <v>150233.43899513123</v>
      </c>
      <c r="R372" s="70">
        <f ca="1">IF(P372+AC372&lt;0.000001,0,IF(A372=入力設定!$B$6*12,P372+AB372+AC372,MIN(Q372,P372+AB372+AC372)))</f>
        <v>150233.43899513123</v>
      </c>
      <c r="S372" s="70">
        <f t="shared" ca="1" si="116"/>
        <v>30213.510916257608</v>
      </c>
      <c r="T372" s="70">
        <f t="shared" ca="1" si="117"/>
        <v>120019.92807887362</v>
      </c>
      <c r="U372" s="70">
        <f t="shared" ca="1" si="118"/>
        <v>7131222.6918229517</v>
      </c>
      <c r="V372" s="70">
        <f t="shared" ca="1" si="119"/>
        <v>0</v>
      </c>
      <c r="W372" s="70">
        <f t="shared" ca="1" si="120"/>
        <v>0</v>
      </c>
      <c r="X372" s="70">
        <f t="shared" ca="1" si="121"/>
        <v>0</v>
      </c>
      <c r="Y372" s="71">
        <f t="shared" ca="1" si="122"/>
        <v>8045.2073029590056</v>
      </c>
      <c r="Z372" s="71">
        <f t="shared" ca="1" si="130"/>
        <v>0</v>
      </c>
      <c r="AA372" s="71">
        <f t="shared" ca="1" si="123"/>
        <v>0</v>
      </c>
      <c r="AB372" s="71">
        <f t="shared" ca="1" si="124"/>
        <v>30213.510916257608</v>
      </c>
      <c r="AC372" s="71">
        <f t="shared" ca="1" si="131"/>
        <v>0</v>
      </c>
      <c r="AD372" s="71">
        <f t="shared" ca="1" si="125"/>
        <v>0</v>
      </c>
      <c r="AE372" s="72">
        <f t="shared" si="126"/>
        <v>0</v>
      </c>
      <c r="AF372" s="73">
        <f>IF(A372&gt;入力設定!$B$6*12,0,IF(AND(ISNUMBER(C372),C372&gt;=0,C372&lt;=1),0,1))</f>
        <v>0</v>
      </c>
    </row>
    <row r="373" spans="1:32" ht="21" customHeight="1">
      <c r="A373" s="68">
        <f>368</f>
        <v>368</v>
      </c>
      <c r="B373" s="69">
        <f>EDATE(入力設定!$B$7,A373-1)</f>
        <v>57497</v>
      </c>
      <c r="C373" s="80">
        <f>INDEX(入力設定!$C$15:$C$24,INT((A373-1)/60)+1)</f>
        <v>0.05</v>
      </c>
      <c r="D373" s="70">
        <f t="shared" ca="1" si="127"/>
        <v>1796628.3619775167</v>
      </c>
      <c r="E373" s="70">
        <f t="shared" ca="1" si="128"/>
        <v>13</v>
      </c>
      <c r="F373" s="70">
        <f ca="1">IF(D373+Z373&lt;0.000001,0,IF(D373&lt;0.000001,F372,IF(OR(AE373=1,AND(K372&gt;0,入力設定!$B$8="返済額軽減型",入力設定!$B$11="翌月")),IF(C373=0,D373/MAX(1,E373),D373*(C373/12)/(1-(1+C373/12)^(-MAX(1,E373)))),F372)))</f>
        <v>142266.59803560362</v>
      </c>
      <c r="G373" s="70">
        <f t="shared" ca="1" si="110"/>
        <v>142266.59803560362</v>
      </c>
      <c r="H373" s="70">
        <f t="shared" ca="1" si="111"/>
        <v>7485.9515082396538</v>
      </c>
      <c r="I373" s="70">
        <f t="shared" ca="1" si="112"/>
        <v>134780.64652736398</v>
      </c>
      <c r="J373" s="70">
        <f>SUMIFS(入力設定!$G$5:$G$24,入力設定!$F$5:$F$24,A373)</f>
        <v>0</v>
      </c>
      <c r="K373" s="70">
        <f t="shared" ca="1" si="113"/>
        <v>0</v>
      </c>
      <c r="L373" s="70">
        <f ca="1">IF(K373&gt;0,入力設定!$B$9,0)</f>
        <v>0</v>
      </c>
      <c r="M373" s="70">
        <f t="shared" ca="1" si="114"/>
        <v>1661847.7154501528</v>
      </c>
      <c r="N373" s="70">
        <f ca="1">IF(M373+AA373&lt;0.000001,0,IF(AND(K373&gt;0,入力設定!$B$8="期間短縮型",AA373&lt;0.000001,F373&gt;M373*C373/12),MAX(1,MIN(E373-1,IF(C373=0,ROUNDUP(M373/F373,0),ROUNDUP(-LN(1-M373*(C373/12)/F373)/LN(1+C373/12),0)))),MAX(1,E373-1)))</f>
        <v>12</v>
      </c>
      <c r="O373" s="70">
        <f t="shared" ca="1" si="115"/>
        <v>142266.59803560362</v>
      </c>
      <c r="P373" s="70">
        <f t="shared" ca="1" si="129"/>
        <v>7131222.6918229517</v>
      </c>
      <c r="Q373" s="70">
        <f ca="1">IF(OR(A373&gt;入力設定!$B$6*12,P373+AC373&lt;0.000001),0,IF(P373&lt;0.000001,Q372,IF(AE373=1,IF(C373=0,P373/MAX(1,入力設定!$B$6*12-A373+1),P373*(C373/12)/(1-(1+C373/12)^(-MAX(1,入力設定!$B$6*12-A373+1)))),Q372)))</f>
        <v>150233.43899513123</v>
      </c>
      <c r="R373" s="70">
        <f ca="1">IF(P373+AC373&lt;0.000001,0,IF(A373=入力設定!$B$6*12,P373+AB373+AC373,MIN(Q373,P373+AB373+AC373)))</f>
        <v>150233.43899513123</v>
      </c>
      <c r="S373" s="70">
        <f t="shared" ca="1" si="116"/>
        <v>29713.427882595632</v>
      </c>
      <c r="T373" s="70">
        <f t="shared" ca="1" si="117"/>
        <v>120520.01111253561</v>
      </c>
      <c r="U373" s="70">
        <f t="shared" ca="1" si="118"/>
        <v>7010702.6807104163</v>
      </c>
      <c r="V373" s="70">
        <f t="shared" ca="1" si="119"/>
        <v>0</v>
      </c>
      <c r="W373" s="70">
        <f t="shared" ca="1" si="120"/>
        <v>0</v>
      </c>
      <c r="X373" s="70">
        <f t="shared" ca="1" si="121"/>
        <v>0</v>
      </c>
      <c r="Y373" s="71">
        <f t="shared" ca="1" si="122"/>
        <v>7485.9515082396538</v>
      </c>
      <c r="Z373" s="71">
        <f t="shared" ca="1" si="130"/>
        <v>0</v>
      </c>
      <c r="AA373" s="71">
        <f t="shared" ca="1" si="123"/>
        <v>0</v>
      </c>
      <c r="AB373" s="71">
        <f t="shared" ca="1" si="124"/>
        <v>29713.427882595632</v>
      </c>
      <c r="AC373" s="71">
        <f t="shared" ca="1" si="131"/>
        <v>0</v>
      </c>
      <c r="AD373" s="71">
        <f t="shared" ca="1" si="125"/>
        <v>0</v>
      </c>
      <c r="AE373" s="72">
        <f t="shared" si="126"/>
        <v>0</v>
      </c>
      <c r="AF373" s="73">
        <f>IF(A373&gt;入力設定!$B$6*12,0,IF(AND(ISNUMBER(C373),C373&gt;=0,C373&lt;=1),0,1))</f>
        <v>0</v>
      </c>
    </row>
    <row r="374" spans="1:32" ht="21" customHeight="1">
      <c r="A374" s="68">
        <f>369</f>
        <v>369</v>
      </c>
      <c r="B374" s="69">
        <f>EDATE(入力設定!$B$7,A374-1)</f>
        <v>57527</v>
      </c>
      <c r="C374" s="80">
        <f>INDEX(入力設定!$C$15:$C$24,INT((A374-1)/60)+1)</f>
        <v>0.05</v>
      </c>
      <c r="D374" s="70">
        <f t="shared" ca="1" si="127"/>
        <v>1661847.7154501528</v>
      </c>
      <c r="E374" s="70">
        <f t="shared" ca="1" si="128"/>
        <v>12</v>
      </c>
      <c r="F374" s="70">
        <f ca="1">IF(D374+Z374&lt;0.000001,0,IF(D374&lt;0.000001,F373,IF(OR(AE374=1,AND(K373&gt;0,入力設定!$B$8="返済額軽減型",入力設定!$B$11="翌月")),IF(C374=0,D374/MAX(1,E374),D374*(C374/12)/(1-(1+C374/12)^(-MAX(1,E374)))),F373)))</f>
        <v>142266.59803560362</v>
      </c>
      <c r="G374" s="70">
        <f t="shared" ca="1" si="110"/>
        <v>142266.59803560362</v>
      </c>
      <c r="H374" s="70">
        <f t="shared" ca="1" si="111"/>
        <v>6924.3654810423031</v>
      </c>
      <c r="I374" s="70">
        <f t="shared" ca="1" si="112"/>
        <v>135342.23255456131</v>
      </c>
      <c r="J374" s="70">
        <f>SUMIFS(入力設定!$G$5:$G$24,入力設定!$F$5:$F$24,A374)</f>
        <v>0</v>
      </c>
      <c r="K374" s="70">
        <f t="shared" ca="1" si="113"/>
        <v>0</v>
      </c>
      <c r="L374" s="70">
        <f ca="1">IF(K374&gt;0,入力設定!$B$9,0)</f>
        <v>0</v>
      </c>
      <c r="M374" s="70">
        <f t="shared" ca="1" si="114"/>
        <v>1526505.4828955915</v>
      </c>
      <c r="N374" s="70">
        <f ca="1">IF(M374+AA374&lt;0.000001,0,IF(AND(K374&gt;0,入力設定!$B$8="期間短縮型",AA374&lt;0.000001,F374&gt;M374*C374/12),MAX(1,MIN(E374-1,IF(C374=0,ROUNDUP(M374/F374,0),ROUNDUP(-LN(1-M374*(C374/12)/F374)/LN(1+C374/12),0)))),MAX(1,E374-1)))</f>
        <v>11</v>
      </c>
      <c r="O374" s="70">
        <f t="shared" ca="1" si="115"/>
        <v>142266.59803560362</v>
      </c>
      <c r="P374" s="70">
        <f t="shared" ca="1" si="129"/>
        <v>7010702.6807104163</v>
      </c>
      <c r="Q374" s="70">
        <f ca="1">IF(OR(A374&gt;入力設定!$B$6*12,P374+AC374&lt;0.000001),0,IF(P374&lt;0.000001,Q373,IF(AE374=1,IF(C374=0,P374/MAX(1,入力設定!$B$6*12-A374+1),P374*(C374/12)/(1-(1+C374/12)^(-MAX(1,入力設定!$B$6*12-A374+1)))),Q373)))</f>
        <v>150233.43899513123</v>
      </c>
      <c r="R374" s="70">
        <f ca="1">IF(P374+AC374&lt;0.000001,0,IF(A374=入力設定!$B$6*12,P374+AB374+AC374,MIN(Q374,P374+AB374+AC374)))</f>
        <v>150233.43899513123</v>
      </c>
      <c r="S374" s="70">
        <f t="shared" ca="1" si="116"/>
        <v>29211.261169626738</v>
      </c>
      <c r="T374" s="70">
        <f t="shared" ca="1" si="117"/>
        <v>121022.17782550449</v>
      </c>
      <c r="U374" s="70">
        <f t="shared" ca="1" si="118"/>
        <v>6889680.5028849114</v>
      </c>
      <c r="V374" s="70">
        <f t="shared" ca="1" si="119"/>
        <v>0</v>
      </c>
      <c r="W374" s="70">
        <f t="shared" ca="1" si="120"/>
        <v>0</v>
      </c>
      <c r="X374" s="70">
        <f t="shared" ca="1" si="121"/>
        <v>0</v>
      </c>
      <c r="Y374" s="71">
        <f t="shared" ca="1" si="122"/>
        <v>6924.3654810423031</v>
      </c>
      <c r="Z374" s="71">
        <f t="shared" ca="1" si="130"/>
        <v>0</v>
      </c>
      <c r="AA374" s="71">
        <f t="shared" ca="1" si="123"/>
        <v>0</v>
      </c>
      <c r="AB374" s="71">
        <f t="shared" ca="1" si="124"/>
        <v>29211.261169626738</v>
      </c>
      <c r="AC374" s="71">
        <f t="shared" ca="1" si="131"/>
        <v>0</v>
      </c>
      <c r="AD374" s="71">
        <f t="shared" ca="1" si="125"/>
        <v>0</v>
      </c>
      <c r="AE374" s="72">
        <f t="shared" si="126"/>
        <v>0</v>
      </c>
      <c r="AF374" s="73">
        <f>IF(A374&gt;入力設定!$B$6*12,0,IF(AND(ISNUMBER(C374),C374&gt;=0,C374&lt;=1),0,1))</f>
        <v>0</v>
      </c>
    </row>
    <row r="375" spans="1:32" ht="21" customHeight="1">
      <c r="A375" s="68">
        <f>370</f>
        <v>370</v>
      </c>
      <c r="B375" s="69">
        <f>EDATE(入力設定!$B$7,A375-1)</f>
        <v>57558</v>
      </c>
      <c r="C375" s="80">
        <f>INDEX(入力設定!$C$15:$C$24,INT((A375-1)/60)+1)</f>
        <v>0.05</v>
      </c>
      <c r="D375" s="70">
        <f t="shared" ca="1" si="127"/>
        <v>1526505.4828955915</v>
      </c>
      <c r="E375" s="70">
        <f t="shared" ca="1" si="128"/>
        <v>11</v>
      </c>
      <c r="F375" s="70">
        <f ca="1">IF(D375+Z375&lt;0.000001,0,IF(D375&lt;0.000001,F374,IF(OR(AE375=1,AND(K374&gt;0,入力設定!$B$8="返済額軽減型",入力設定!$B$11="翌月")),IF(C375=0,D375/MAX(1,E375),D375*(C375/12)/(1-(1+C375/12)^(-MAX(1,E375)))),F374)))</f>
        <v>142266.59803560362</v>
      </c>
      <c r="G375" s="70">
        <f t="shared" ca="1" si="110"/>
        <v>142266.59803560362</v>
      </c>
      <c r="H375" s="70">
        <f t="shared" ca="1" si="111"/>
        <v>6360.4395120649651</v>
      </c>
      <c r="I375" s="70">
        <f t="shared" ca="1" si="112"/>
        <v>135906.15852353864</v>
      </c>
      <c r="J375" s="70">
        <f>SUMIFS(入力設定!$G$5:$G$24,入力設定!$F$5:$F$24,A375)</f>
        <v>0</v>
      </c>
      <c r="K375" s="70">
        <f t="shared" ca="1" si="113"/>
        <v>0</v>
      </c>
      <c r="L375" s="70">
        <f ca="1">IF(K375&gt;0,入力設定!$B$9,0)</f>
        <v>0</v>
      </c>
      <c r="M375" s="70">
        <f t="shared" ca="1" si="114"/>
        <v>1390599.3243720529</v>
      </c>
      <c r="N375" s="70">
        <f ca="1">IF(M375+AA375&lt;0.000001,0,IF(AND(K375&gt;0,入力設定!$B$8="期間短縮型",AA375&lt;0.000001,F375&gt;M375*C375/12),MAX(1,MIN(E375-1,IF(C375=0,ROUNDUP(M375/F375,0),ROUNDUP(-LN(1-M375*(C375/12)/F375)/LN(1+C375/12),0)))),MAX(1,E375-1)))</f>
        <v>10</v>
      </c>
      <c r="O375" s="70">
        <f t="shared" ca="1" si="115"/>
        <v>142266.59803560362</v>
      </c>
      <c r="P375" s="70">
        <f t="shared" ca="1" si="129"/>
        <v>6889680.5028849114</v>
      </c>
      <c r="Q375" s="70">
        <f ca="1">IF(OR(A375&gt;入力設定!$B$6*12,P375+AC375&lt;0.000001),0,IF(P375&lt;0.000001,Q374,IF(AE375=1,IF(C375=0,P375/MAX(1,入力設定!$B$6*12-A375+1),P375*(C375/12)/(1-(1+C375/12)^(-MAX(1,入力設定!$B$6*12-A375+1)))),Q374)))</f>
        <v>150233.43899513123</v>
      </c>
      <c r="R375" s="70">
        <f ca="1">IF(P375+AC375&lt;0.000001,0,IF(A375=入力設定!$B$6*12,P375+AB375+AC375,MIN(Q375,P375+AB375+AC375)))</f>
        <v>150233.43899513123</v>
      </c>
      <c r="S375" s="70">
        <f t="shared" ca="1" si="116"/>
        <v>28707.002095353801</v>
      </c>
      <c r="T375" s="70">
        <f t="shared" ca="1" si="117"/>
        <v>121526.43689977743</v>
      </c>
      <c r="U375" s="70">
        <f t="shared" ca="1" si="118"/>
        <v>6768154.0659851339</v>
      </c>
      <c r="V375" s="70">
        <f t="shared" ca="1" si="119"/>
        <v>0</v>
      </c>
      <c r="W375" s="70">
        <f t="shared" ca="1" si="120"/>
        <v>0</v>
      </c>
      <c r="X375" s="70">
        <f t="shared" ca="1" si="121"/>
        <v>0</v>
      </c>
      <c r="Y375" s="71">
        <f t="shared" ca="1" si="122"/>
        <v>6360.4395120649651</v>
      </c>
      <c r="Z375" s="71">
        <f t="shared" ca="1" si="130"/>
        <v>0</v>
      </c>
      <c r="AA375" s="71">
        <f t="shared" ca="1" si="123"/>
        <v>0</v>
      </c>
      <c r="AB375" s="71">
        <f t="shared" ca="1" si="124"/>
        <v>28707.002095353801</v>
      </c>
      <c r="AC375" s="71">
        <f t="shared" ca="1" si="131"/>
        <v>0</v>
      </c>
      <c r="AD375" s="71">
        <f t="shared" ca="1" si="125"/>
        <v>0</v>
      </c>
      <c r="AE375" s="72">
        <f t="shared" si="126"/>
        <v>0</v>
      </c>
      <c r="AF375" s="73">
        <f>IF(A375&gt;入力設定!$B$6*12,0,IF(AND(ISNUMBER(C375),C375&gt;=0,C375&lt;=1),0,1))</f>
        <v>0</v>
      </c>
    </row>
    <row r="376" spans="1:32" ht="21" customHeight="1">
      <c r="A376" s="68">
        <f>371</f>
        <v>371</v>
      </c>
      <c r="B376" s="69">
        <f>EDATE(入力設定!$B$7,A376-1)</f>
        <v>57589</v>
      </c>
      <c r="C376" s="80">
        <f>INDEX(入力設定!$C$15:$C$24,INT((A376-1)/60)+1)</f>
        <v>0.05</v>
      </c>
      <c r="D376" s="70">
        <f t="shared" ca="1" si="127"/>
        <v>1390599.3243720529</v>
      </c>
      <c r="E376" s="70">
        <f t="shared" ca="1" si="128"/>
        <v>10</v>
      </c>
      <c r="F376" s="70">
        <f ca="1">IF(D376+Z376&lt;0.000001,0,IF(D376&lt;0.000001,F375,IF(OR(AE376=1,AND(K375&gt;0,入力設定!$B$8="返済額軽減型",入力設定!$B$11="翌月")),IF(C376=0,D376/MAX(1,E376),D376*(C376/12)/(1-(1+C376/12)^(-MAX(1,E376)))),F375)))</f>
        <v>142266.59803560362</v>
      </c>
      <c r="G376" s="70">
        <f t="shared" ca="1" si="110"/>
        <v>142266.59803560362</v>
      </c>
      <c r="H376" s="70">
        <f t="shared" ca="1" si="111"/>
        <v>5794.1638515502209</v>
      </c>
      <c r="I376" s="70">
        <f t="shared" ca="1" si="112"/>
        <v>136472.43418405339</v>
      </c>
      <c r="J376" s="70">
        <f>SUMIFS(入力設定!$G$5:$G$24,入力設定!$F$5:$F$24,A376)</f>
        <v>0</v>
      </c>
      <c r="K376" s="70">
        <f t="shared" ca="1" si="113"/>
        <v>0</v>
      </c>
      <c r="L376" s="70">
        <f ca="1">IF(K376&gt;0,入力設定!$B$9,0)</f>
        <v>0</v>
      </c>
      <c r="M376" s="70">
        <f t="shared" ca="1" si="114"/>
        <v>1254126.8901879995</v>
      </c>
      <c r="N376" s="70">
        <f ca="1">IF(M376+AA376&lt;0.000001,0,IF(AND(K376&gt;0,入力設定!$B$8="期間短縮型",AA376&lt;0.000001,F376&gt;M376*C376/12),MAX(1,MIN(E376-1,IF(C376=0,ROUNDUP(M376/F376,0),ROUNDUP(-LN(1-M376*(C376/12)/F376)/LN(1+C376/12),0)))),MAX(1,E376-1)))</f>
        <v>9</v>
      </c>
      <c r="O376" s="70">
        <f t="shared" ca="1" si="115"/>
        <v>142266.59803560362</v>
      </c>
      <c r="P376" s="70">
        <f t="shared" ca="1" si="129"/>
        <v>6768154.0659851339</v>
      </c>
      <c r="Q376" s="70">
        <f ca="1">IF(OR(A376&gt;入力設定!$B$6*12,P376+AC376&lt;0.000001),0,IF(P376&lt;0.000001,Q375,IF(AE376=1,IF(C376=0,P376/MAX(1,入力設定!$B$6*12-A376+1),P376*(C376/12)/(1-(1+C376/12)^(-MAX(1,入力設定!$B$6*12-A376+1)))),Q375)))</f>
        <v>150233.43899513123</v>
      </c>
      <c r="R376" s="70">
        <f ca="1">IF(P376+AC376&lt;0.000001,0,IF(A376=入力設定!$B$6*12,P376+AB376+AC376,MIN(Q376,P376+AB376+AC376)))</f>
        <v>150233.43899513123</v>
      </c>
      <c r="S376" s="70">
        <f t="shared" ca="1" si="116"/>
        <v>28200.641941604728</v>
      </c>
      <c r="T376" s="70">
        <f t="shared" ca="1" si="117"/>
        <v>122032.7970535265</v>
      </c>
      <c r="U376" s="70">
        <f t="shared" ca="1" si="118"/>
        <v>6646121.2689316077</v>
      </c>
      <c r="V376" s="70">
        <f t="shared" ca="1" si="119"/>
        <v>0</v>
      </c>
      <c r="W376" s="70">
        <f t="shared" ca="1" si="120"/>
        <v>0</v>
      </c>
      <c r="X376" s="70">
        <f t="shared" ca="1" si="121"/>
        <v>0</v>
      </c>
      <c r="Y376" s="71">
        <f t="shared" ca="1" si="122"/>
        <v>5794.1638515502209</v>
      </c>
      <c r="Z376" s="71">
        <f t="shared" ca="1" si="130"/>
        <v>0</v>
      </c>
      <c r="AA376" s="71">
        <f t="shared" ca="1" si="123"/>
        <v>0</v>
      </c>
      <c r="AB376" s="71">
        <f t="shared" ca="1" si="124"/>
        <v>28200.641941604728</v>
      </c>
      <c r="AC376" s="71">
        <f t="shared" ca="1" si="131"/>
        <v>0</v>
      </c>
      <c r="AD376" s="71">
        <f t="shared" ca="1" si="125"/>
        <v>0</v>
      </c>
      <c r="AE376" s="72">
        <f t="shared" si="126"/>
        <v>0</v>
      </c>
      <c r="AF376" s="73">
        <f>IF(A376&gt;入力設定!$B$6*12,0,IF(AND(ISNUMBER(C376),C376&gt;=0,C376&lt;=1),0,1))</f>
        <v>0</v>
      </c>
    </row>
    <row r="377" spans="1:32" ht="21" customHeight="1">
      <c r="A377" s="68">
        <f>372</f>
        <v>372</v>
      </c>
      <c r="B377" s="69">
        <f>EDATE(入力設定!$B$7,A377-1)</f>
        <v>57619</v>
      </c>
      <c r="C377" s="80">
        <f>INDEX(入力設定!$C$15:$C$24,INT((A377-1)/60)+1)</f>
        <v>0.05</v>
      </c>
      <c r="D377" s="70">
        <f t="shared" ca="1" si="127"/>
        <v>1254126.8901879995</v>
      </c>
      <c r="E377" s="70">
        <f t="shared" ca="1" si="128"/>
        <v>9</v>
      </c>
      <c r="F377" s="70">
        <f ca="1">IF(D377+Z377&lt;0.000001,0,IF(D377&lt;0.000001,F376,IF(OR(AE377=1,AND(K376&gt;0,入力設定!$B$8="返済額軽減型",入力設定!$B$11="翌月")),IF(C377=0,D377/MAX(1,E377),D377*(C377/12)/(1-(1+C377/12)^(-MAX(1,E377)))),F376)))</f>
        <v>142266.59803560362</v>
      </c>
      <c r="G377" s="70">
        <f t="shared" ca="1" si="110"/>
        <v>142266.59803560362</v>
      </c>
      <c r="H377" s="70">
        <f t="shared" ca="1" si="111"/>
        <v>5225.5287091166647</v>
      </c>
      <c r="I377" s="70">
        <f t="shared" ca="1" si="112"/>
        <v>137041.06932648696</v>
      </c>
      <c r="J377" s="70">
        <f>SUMIFS(入力設定!$G$5:$G$24,入力設定!$F$5:$F$24,A377)</f>
        <v>0</v>
      </c>
      <c r="K377" s="70">
        <f t="shared" ca="1" si="113"/>
        <v>0</v>
      </c>
      <c r="L377" s="70">
        <f ca="1">IF(K377&gt;0,入力設定!$B$9,0)</f>
        <v>0</v>
      </c>
      <c r="M377" s="70">
        <f t="shared" ca="1" si="114"/>
        <v>1117085.8208615126</v>
      </c>
      <c r="N377" s="70">
        <f ca="1">IF(M377+AA377&lt;0.000001,0,IF(AND(K377&gt;0,入力設定!$B$8="期間短縮型",AA377&lt;0.000001,F377&gt;M377*C377/12),MAX(1,MIN(E377-1,IF(C377=0,ROUNDUP(M377/F377,0),ROUNDUP(-LN(1-M377*(C377/12)/F377)/LN(1+C377/12),0)))),MAX(1,E377-1)))</f>
        <v>8</v>
      </c>
      <c r="O377" s="70">
        <f t="shared" ca="1" si="115"/>
        <v>142266.59803560362</v>
      </c>
      <c r="P377" s="70">
        <f t="shared" ca="1" si="129"/>
        <v>6646121.2689316077</v>
      </c>
      <c r="Q377" s="70">
        <f ca="1">IF(OR(A377&gt;入力設定!$B$6*12,P377+AC377&lt;0.000001),0,IF(P377&lt;0.000001,Q376,IF(AE377=1,IF(C377=0,P377/MAX(1,入力設定!$B$6*12-A377+1),P377*(C377/12)/(1-(1+C377/12)^(-MAX(1,入力設定!$B$6*12-A377+1)))),Q376)))</f>
        <v>150233.43899513123</v>
      </c>
      <c r="R377" s="70">
        <f ca="1">IF(P377+AC377&lt;0.000001,0,IF(A377=入力設定!$B$6*12,P377+AB377+AC377,MIN(Q377,P377+AB377+AC377)))</f>
        <v>150233.43899513123</v>
      </c>
      <c r="S377" s="70">
        <f t="shared" ca="1" si="116"/>
        <v>27692.171953881701</v>
      </c>
      <c r="T377" s="70">
        <f t="shared" ca="1" si="117"/>
        <v>122541.26704124954</v>
      </c>
      <c r="U377" s="70">
        <f t="shared" ca="1" si="118"/>
        <v>6523580.0018903585</v>
      </c>
      <c r="V377" s="70">
        <f t="shared" ca="1" si="119"/>
        <v>0</v>
      </c>
      <c r="W377" s="70">
        <f t="shared" ca="1" si="120"/>
        <v>0</v>
      </c>
      <c r="X377" s="70">
        <f t="shared" ca="1" si="121"/>
        <v>0</v>
      </c>
      <c r="Y377" s="71">
        <f t="shared" ca="1" si="122"/>
        <v>5225.5287091166647</v>
      </c>
      <c r="Z377" s="71">
        <f t="shared" ca="1" si="130"/>
        <v>0</v>
      </c>
      <c r="AA377" s="71">
        <f t="shared" ca="1" si="123"/>
        <v>0</v>
      </c>
      <c r="AB377" s="71">
        <f t="shared" ca="1" si="124"/>
        <v>27692.171953881701</v>
      </c>
      <c r="AC377" s="71">
        <f t="shared" ca="1" si="131"/>
        <v>0</v>
      </c>
      <c r="AD377" s="71">
        <f t="shared" ca="1" si="125"/>
        <v>0</v>
      </c>
      <c r="AE377" s="72">
        <f t="shared" si="126"/>
        <v>0</v>
      </c>
      <c r="AF377" s="73">
        <f>IF(A377&gt;入力設定!$B$6*12,0,IF(AND(ISNUMBER(C377),C377&gt;=0,C377&lt;=1),0,1))</f>
        <v>0</v>
      </c>
    </row>
    <row r="378" spans="1:32" ht="21" customHeight="1">
      <c r="A378" s="68">
        <f>373</f>
        <v>373</v>
      </c>
      <c r="B378" s="69">
        <f>EDATE(入力設定!$B$7,A378-1)</f>
        <v>57650</v>
      </c>
      <c r="C378" s="80">
        <f>INDEX(入力設定!$C$15:$C$24,INT((A378-1)/60)+1)</f>
        <v>0.05</v>
      </c>
      <c r="D378" s="70">
        <f t="shared" ca="1" si="127"/>
        <v>1117085.8208615126</v>
      </c>
      <c r="E378" s="70">
        <f t="shared" ca="1" si="128"/>
        <v>8</v>
      </c>
      <c r="F378" s="70">
        <f ca="1">IF(D378+Z378&lt;0.000001,0,IF(D378&lt;0.000001,F377,IF(OR(AE378=1,AND(K377&gt;0,入力設定!$B$8="返済額軽減型",入力設定!$B$11="翌月")),IF(C378=0,D378/MAX(1,E378),D378*(C378/12)/(1-(1+C378/12)^(-MAX(1,E378)))),F377)))</f>
        <v>142266.59803560362</v>
      </c>
      <c r="G378" s="70">
        <f t="shared" ca="1" si="110"/>
        <v>142266.59803560362</v>
      </c>
      <c r="H378" s="70">
        <f t="shared" ca="1" si="111"/>
        <v>4654.5242535896359</v>
      </c>
      <c r="I378" s="70">
        <f t="shared" ca="1" si="112"/>
        <v>137612.07378201399</v>
      </c>
      <c r="J378" s="70">
        <f>SUMIFS(入力設定!$G$5:$G$24,入力設定!$F$5:$F$24,A378)</f>
        <v>0</v>
      </c>
      <c r="K378" s="70">
        <f t="shared" ca="1" si="113"/>
        <v>0</v>
      </c>
      <c r="L378" s="70">
        <f ca="1">IF(K378&gt;0,入力設定!$B$9,0)</f>
        <v>0</v>
      </c>
      <c r="M378" s="70">
        <f t="shared" ca="1" si="114"/>
        <v>979473.7470794986</v>
      </c>
      <c r="N378" s="70">
        <f ca="1">IF(M378+AA378&lt;0.000001,0,IF(AND(K378&gt;0,入力設定!$B$8="期間短縮型",AA378&lt;0.000001,F378&gt;M378*C378/12),MAX(1,MIN(E378-1,IF(C378=0,ROUNDUP(M378/F378,0),ROUNDUP(-LN(1-M378*(C378/12)/F378)/LN(1+C378/12),0)))),MAX(1,E378-1)))</f>
        <v>7</v>
      </c>
      <c r="O378" s="70">
        <f t="shared" ca="1" si="115"/>
        <v>142266.59803560362</v>
      </c>
      <c r="P378" s="70">
        <f t="shared" ca="1" si="129"/>
        <v>6523580.0018903585</v>
      </c>
      <c r="Q378" s="70">
        <f ca="1">IF(OR(A378&gt;入力設定!$B$6*12,P378+AC378&lt;0.000001),0,IF(P378&lt;0.000001,Q377,IF(AE378=1,IF(C378=0,P378/MAX(1,入力設定!$B$6*12-A378+1),P378*(C378/12)/(1-(1+C378/12)^(-MAX(1,入力設定!$B$6*12-A378+1)))),Q377)))</f>
        <v>150233.43899513123</v>
      </c>
      <c r="R378" s="70">
        <f ca="1">IF(P378+AC378&lt;0.000001,0,IF(A378=入力設定!$B$6*12,P378+AB378+AC378,MIN(Q378,P378+AB378+AC378)))</f>
        <v>150233.43899513123</v>
      </c>
      <c r="S378" s="70">
        <f t="shared" ca="1" si="116"/>
        <v>27181.583341209829</v>
      </c>
      <c r="T378" s="70">
        <f t="shared" ca="1" si="117"/>
        <v>123051.8556539214</v>
      </c>
      <c r="U378" s="70">
        <f t="shared" ca="1" si="118"/>
        <v>6400528.1462364374</v>
      </c>
      <c r="V378" s="70">
        <f t="shared" ca="1" si="119"/>
        <v>0</v>
      </c>
      <c r="W378" s="70">
        <f t="shared" ca="1" si="120"/>
        <v>0</v>
      </c>
      <c r="X378" s="70">
        <f t="shared" ca="1" si="121"/>
        <v>0</v>
      </c>
      <c r="Y378" s="71">
        <f t="shared" ca="1" si="122"/>
        <v>4654.5242535896359</v>
      </c>
      <c r="Z378" s="71">
        <f t="shared" ca="1" si="130"/>
        <v>0</v>
      </c>
      <c r="AA378" s="71">
        <f t="shared" ca="1" si="123"/>
        <v>0</v>
      </c>
      <c r="AB378" s="71">
        <f t="shared" ca="1" si="124"/>
        <v>27181.583341209829</v>
      </c>
      <c r="AC378" s="71">
        <f t="shared" ca="1" si="131"/>
        <v>0</v>
      </c>
      <c r="AD378" s="71">
        <f t="shared" ca="1" si="125"/>
        <v>0</v>
      </c>
      <c r="AE378" s="72">
        <f t="shared" si="126"/>
        <v>0</v>
      </c>
      <c r="AF378" s="73">
        <f>IF(A378&gt;入力設定!$B$6*12,0,IF(AND(ISNUMBER(C378),C378&gt;=0,C378&lt;=1),0,1))</f>
        <v>0</v>
      </c>
    </row>
    <row r="379" spans="1:32" ht="21" customHeight="1">
      <c r="A379" s="68">
        <f>374</f>
        <v>374</v>
      </c>
      <c r="B379" s="69">
        <f>EDATE(入力設定!$B$7,A379-1)</f>
        <v>57680</v>
      </c>
      <c r="C379" s="80">
        <f>INDEX(入力設定!$C$15:$C$24,INT((A379-1)/60)+1)</f>
        <v>0.05</v>
      </c>
      <c r="D379" s="70">
        <f t="shared" ca="1" si="127"/>
        <v>979473.7470794986</v>
      </c>
      <c r="E379" s="70">
        <f t="shared" ca="1" si="128"/>
        <v>7</v>
      </c>
      <c r="F379" s="70">
        <f ca="1">IF(D379+Z379&lt;0.000001,0,IF(D379&lt;0.000001,F378,IF(OR(AE379=1,AND(K378&gt;0,入力設定!$B$8="返済額軽減型",入力設定!$B$11="翌月")),IF(C379=0,D379/MAX(1,E379),D379*(C379/12)/(1-(1+C379/12)^(-MAX(1,E379)))),F378)))</f>
        <v>142266.59803560362</v>
      </c>
      <c r="G379" s="70">
        <f t="shared" ca="1" si="110"/>
        <v>142266.59803560362</v>
      </c>
      <c r="H379" s="70">
        <f t="shared" ca="1" si="111"/>
        <v>4081.1406128312447</v>
      </c>
      <c r="I379" s="70">
        <f t="shared" ca="1" si="112"/>
        <v>138185.45742277236</v>
      </c>
      <c r="J379" s="70">
        <f>SUMIFS(入力設定!$G$5:$G$24,入力設定!$F$5:$F$24,A379)</f>
        <v>0</v>
      </c>
      <c r="K379" s="70">
        <f t="shared" ca="1" si="113"/>
        <v>0</v>
      </c>
      <c r="L379" s="70">
        <f ca="1">IF(K379&gt;0,入力設定!$B$9,0)</f>
        <v>0</v>
      </c>
      <c r="M379" s="70">
        <f t="shared" ca="1" si="114"/>
        <v>841288.28965672618</v>
      </c>
      <c r="N379" s="70">
        <f ca="1">IF(M379+AA379&lt;0.000001,0,IF(AND(K379&gt;0,入力設定!$B$8="期間短縮型",AA379&lt;0.000001,F379&gt;M379*C379/12),MAX(1,MIN(E379-1,IF(C379=0,ROUNDUP(M379/F379,0),ROUNDUP(-LN(1-M379*(C379/12)/F379)/LN(1+C379/12),0)))),MAX(1,E379-1)))</f>
        <v>6</v>
      </c>
      <c r="O379" s="70">
        <f t="shared" ca="1" si="115"/>
        <v>142266.59803560362</v>
      </c>
      <c r="P379" s="70">
        <f t="shared" ca="1" si="129"/>
        <v>6400528.1462364374</v>
      </c>
      <c r="Q379" s="70">
        <f ca="1">IF(OR(A379&gt;入力設定!$B$6*12,P379+AC379&lt;0.000001),0,IF(P379&lt;0.000001,Q378,IF(AE379=1,IF(C379=0,P379/MAX(1,入力設定!$B$6*12-A379+1),P379*(C379/12)/(1-(1+C379/12)^(-MAX(1,入力設定!$B$6*12-A379+1)))),Q378)))</f>
        <v>150233.43899513123</v>
      </c>
      <c r="R379" s="70">
        <f ca="1">IF(P379+AC379&lt;0.000001,0,IF(A379=入力設定!$B$6*12,P379+AB379+AC379,MIN(Q379,P379+AB379+AC379)))</f>
        <v>150233.43899513123</v>
      </c>
      <c r="S379" s="70">
        <f t="shared" ca="1" si="116"/>
        <v>26668.867275985158</v>
      </c>
      <c r="T379" s="70">
        <f t="shared" ca="1" si="117"/>
        <v>123564.57171914607</v>
      </c>
      <c r="U379" s="70">
        <f t="shared" ca="1" si="118"/>
        <v>6276963.574517291</v>
      </c>
      <c r="V379" s="70">
        <f t="shared" ca="1" si="119"/>
        <v>0</v>
      </c>
      <c r="W379" s="70">
        <f t="shared" ca="1" si="120"/>
        <v>0</v>
      </c>
      <c r="X379" s="70">
        <f t="shared" ca="1" si="121"/>
        <v>0</v>
      </c>
      <c r="Y379" s="71">
        <f t="shared" ca="1" si="122"/>
        <v>4081.1406128312447</v>
      </c>
      <c r="Z379" s="71">
        <f t="shared" ca="1" si="130"/>
        <v>0</v>
      </c>
      <c r="AA379" s="71">
        <f t="shared" ca="1" si="123"/>
        <v>0</v>
      </c>
      <c r="AB379" s="71">
        <f t="shared" ca="1" si="124"/>
        <v>26668.867275985158</v>
      </c>
      <c r="AC379" s="71">
        <f t="shared" ca="1" si="131"/>
        <v>0</v>
      </c>
      <c r="AD379" s="71">
        <f t="shared" ca="1" si="125"/>
        <v>0</v>
      </c>
      <c r="AE379" s="72">
        <f t="shared" si="126"/>
        <v>0</v>
      </c>
      <c r="AF379" s="73">
        <f>IF(A379&gt;入力設定!$B$6*12,0,IF(AND(ISNUMBER(C379),C379&gt;=0,C379&lt;=1),0,1))</f>
        <v>0</v>
      </c>
    </row>
    <row r="380" spans="1:32" ht="21" customHeight="1">
      <c r="A380" s="68">
        <f>375</f>
        <v>375</v>
      </c>
      <c r="B380" s="69">
        <f>EDATE(入力設定!$B$7,A380-1)</f>
        <v>57711</v>
      </c>
      <c r="C380" s="80">
        <f>INDEX(入力設定!$C$15:$C$24,INT((A380-1)/60)+1)</f>
        <v>0.05</v>
      </c>
      <c r="D380" s="70">
        <f t="shared" ca="1" si="127"/>
        <v>841288.28965672618</v>
      </c>
      <c r="E380" s="70">
        <f t="shared" ca="1" si="128"/>
        <v>6</v>
      </c>
      <c r="F380" s="70">
        <f ca="1">IF(D380+Z380&lt;0.000001,0,IF(D380&lt;0.000001,F379,IF(OR(AE380=1,AND(K379&gt;0,入力設定!$B$8="返済額軽減型",入力設定!$B$11="翌月")),IF(C380=0,D380/MAX(1,E380),D380*(C380/12)/(1-(1+C380/12)^(-MAX(1,E380)))),F379)))</f>
        <v>142266.59803560362</v>
      </c>
      <c r="G380" s="70">
        <f t="shared" ca="1" si="110"/>
        <v>142266.59803560362</v>
      </c>
      <c r="H380" s="70">
        <f t="shared" ca="1" si="111"/>
        <v>3505.3678735696926</v>
      </c>
      <c r="I380" s="70">
        <f t="shared" ca="1" si="112"/>
        <v>138761.23016203393</v>
      </c>
      <c r="J380" s="70">
        <f>SUMIFS(入力設定!$G$5:$G$24,入力設定!$F$5:$F$24,A380)</f>
        <v>0</v>
      </c>
      <c r="K380" s="70">
        <f t="shared" ca="1" si="113"/>
        <v>0</v>
      </c>
      <c r="L380" s="70">
        <f ca="1">IF(K380&gt;0,入力設定!$B$9,0)</f>
        <v>0</v>
      </c>
      <c r="M380" s="70">
        <f t="shared" ca="1" si="114"/>
        <v>702527.05949469225</v>
      </c>
      <c r="N380" s="70">
        <f ca="1">IF(M380+AA380&lt;0.000001,0,IF(AND(K380&gt;0,入力設定!$B$8="期間短縮型",AA380&lt;0.000001,F380&gt;M380*C380/12),MAX(1,MIN(E380-1,IF(C380=0,ROUNDUP(M380/F380,0),ROUNDUP(-LN(1-M380*(C380/12)/F380)/LN(1+C380/12),0)))),MAX(1,E380-1)))</f>
        <v>5</v>
      </c>
      <c r="O380" s="70">
        <f t="shared" ca="1" si="115"/>
        <v>142266.59803560362</v>
      </c>
      <c r="P380" s="70">
        <f t="shared" ca="1" si="129"/>
        <v>6276963.574517291</v>
      </c>
      <c r="Q380" s="70">
        <f ca="1">IF(OR(A380&gt;入力設定!$B$6*12,P380+AC380&lt;0.000001),0,IF(P380&lt;0.000001,Q379,IF(AE380=1,IF(C380=0,P380/MAX(1,入力設定!$B$6*12-A380+1),P380*(C380/12)/(1-(1+C380/12)^(-MAX(1,入力設定!$B$6*12-A380+1)))),Q379)))</f>
        <v>150233.43899513123</v>
      </c>
      <c r="R380" s="70">
        <f ca="1">IF(P380+AC380&lt;0.000001,0,IF(A380=入力設定!$B$6*12,P380+AB380+AC380,MIN(Q380,P380+AB380+AC380)))</f>
        <v>150233.43899513123</v>
      </c>
      <c r="S380" s="70">
        <f t="shared" ca="1" si="116"/>
        <v>26154.014893822048</v>
      </c>
      <c r="T380" s="70">
        <f t="shared" ca="1" si="117"/>
        <v>124079.42410130918</v>
      </c>
      <c r="U380" s="70">
        <f t="shared" ca="1" si="118"/>
        <v>6152884.1504159821</v>
      </c>
      <c r="V380" s="70">
        <f t="shared" ca="1" si="119"/>
        <v>0</v>
      </c>
      <c r="W380" s="70">
        <f t="shared" ca="1" si="120"/>
        <v>0</v>
      </c>
      <c r="X380" s="70">
        <f t="shared" ca="1" si="121"/>
        <v>0</v>
      </c>
      <c r="Y380" s="71">
        <f t="shared" ca="1" si="122"/>
        <v>3505.3678735696926</v>
      </c>
      <c r="Z380" s="71">
        <f t="shared" ca="1" si="130"/>
        <v>0</v>
      </c>
      <c r="AA380" s="71">
        <f t="shared" ca="1" si="123"/>
        <v>0</v>
      </c>
      <c r="AB380" s="71">
        <f t="shared" ca="1" si="124"/>
        <v>26154.014893822048</v>
      </c>
      <c r="AC380" s="71">
        <f t="shared" ca="1" si="131"/>
        <v>0</v>
      </c>
      <c r="AD380" s="71">
        <f t="shared" ca="1" si="125"/>
        <v>0</v>
      </c>
      <c r="AE380" s="72">
        <f t="shared" si="126"/>
        <v>0</v>
      </c>
      <c r="AF380" s="73">
        <f>IF(A380&gt;入力設定!$B$6*12,0,IF(AND(ISNUMBER(C380),C380&gt;=0,C380&lt;=1),0,1))</f>
        <v>0</v>
      </c>
    </row>
    <row r="381" spans="1:32" ht="21" customHeight="1">
      <c r="A381" s="68">
        <f>376</f>
        <v>376</v>
      </c>
      <c r="B381" s="69">
        <f>EDATE(入力設定!$B$7,A381-1)</f>
        <v>57742</v>
      </c>
      <c r="C381" s="80">
        <f>INDEX(入力設定!$C$15:$C$24,INT((A381-1)/60)+1)</f>
        <v>0.05</v>
      </c>
      <c r="D381" s="70">
        <f t="shared" ca="1" si="127"/>
        <v>702527.05949469225</v>
      </c>
      <c r="E381" s="70">
        <f t="shared" ca="1" si="128"/>
        <v>5</v>
      </c>
      <c r="F381" s="70">
        <f ca="1">IF(D381+Z381&lt;0.000001,0,IF(D381&lt;0.000001,F380,IF(OR(AE381=1,AND(K380&gt;0,入力設定!$B$8="返済額軽減型",入力設定!$B$11="翌月")),IF(C381=0,D381/MAX(1,E381),D381*(C381/12)/(1-(1+C381/12)^(-MAX(1,E381)))),F380)))</f>
        <v>142266.59803560362</v>
      </c>
      <c r="G381" s="70">
        <f t="shared" ca="1" si="110"/>
        <v>142266.59803560362</v>
      </c>
      <c r="H381" s="70">
        <f t="shared" ca="1" si="111"/>
        <v>2927.1960812278844</v>
      </c>
      <c r="I381" s="70">
        <f t="shared" ca="1" si="112"/>
        <v>139339.40195437573</v>
      </c>
      <c r="J381" s="70">
        <f>SUMIFS(入力設定!$G$5:$G$24,入力設定!$F$5:$F$24,A381)</f>
        <v>0</v>
      </c>
      <c r="K381" s="70">
        <f t="shared" ca="1" si="113"/>
        <v>0</v>
      </c>
      <c r="L381" s="70">
        <f ca="1">IF(K381&gt;0,入力設定!$B$9,0)</f>
        <v>0</v>
      </c>
      <c r="M381" s="70">
        <f t="shared" ca="1" si="114"/>
        <v>563187.65754031646</v>
      </c>
      <c r="N381" s="70">
        <f ca="1">IF(M381+AA381&lt;0.000001,0,IF(AND(K381&gt;0,入力設定!$B$8="期間短縮型",AA381&lt;0.000001,F381&gt;M381*C381/12),MAX(1,MIN(E381-1,IF(C381=0,ROUNDUP(M381/F381,0),ROUNDUP(-LN(1-M381*(C381/12)/F381)/LN(1+C381/12),0)))),MAX(1,E381-1)))</f>
        <v>4</v>
      </c>
      <c r="O381" s="70">
        <f t="shared" ca="1" si="115"/>
        <v>142266.59803560362</v>
      </c>
      <c r="P381" s="70">
        <f t="shared" ca="1" si="129"/>
        <v>6152884.1504159821</v>
      </c>
      <c r="Q381" s="70">
        <f ca="1">IF(OR(A381&gt;入力設定!$B$6*12,P381+AC381&lt;0.000001),0,IF(P381&lt;0.000001,Q380,IF(AE381=1,IF(C381=0,P381/MAX(1,入力設定!$B$6*12-A381+1),P381*(C381/12)/(1-(1+C381/12)^(-MAX(1,入力設定!$B$6*12-A381+1)))),Q380)))</f>
        <v>150233.43899513123</v>
      </c>
      <c r="R381" s="70">
        <f ca="1">IF(P381+AC381&lt;0.000001,0,IF(A381=入力設定!$B$6*12,P381+AB381+AC381,MIN(Q381,P381+AB381+AC381)))</f>
        <v>150233.43899513123</v>
      </c>
      <c r="S381" s="70">
        <f t="shared" ca="1" si="116"/>
        <v>25637.017293399927</v>
      </c>
      <c r="T381" s="70">
        <f t="shared" ca="1" si="117"/>
        <v>124596.42170173131</v>
      </c>
      <c r="U381" s="70">
        <f t="shared" ca="1" si="118"/>
        <v>6028287.728714251</v>
      </c>
      <c r="V381" s="70">
        <f t="shared" ca="1" si="119"/>
        <v>0</v>
      </c>
      <c r="W381" s="70">
        <f t="shared" ca="1" si="120"/>
        <v>0</v>
      </c>
      <c r="X381" s="70">
        <f t="shared" ca="1" si="121"/>
        <v>0</v>
      </c>
      <c r="Y381" s="71">
        <f t="shared" ca="1" si="122"/>
        <v>2927.1960812278844</v>
      </c>
      <c r="Z381" s="71">
        <f t="shared" ca="1" si="130"/>
        <v>0</v>
      </c>
      <c r="AA381" s="71">
        <f t="shared" ca="1" si="123"/>
        <v>0</v>
      </c>
      <c r="AB381" s="71">
        <f t="shared" ca="1" si="124"/>
        <v>25637.017293399927</v>
      </c>
      <c r="AC381" s="71">
        <f t="shared" ca="1" si="131"/>
        <v>0</v>
      </c>
      <c r="AD381" s="71">
        <f t="shared" ca="1" si="125"/>
        <v>0</v>
      </c>
      <c r="AE381" s="72">
        <f t="shared" si="126"/>
        <v>0</v>
      </c>
      <c r="AF381" s="73">
        <f>IF(A381&gt;入力設定!$B$6*12,0,IF(AND(ISNUMBER(C381),C381&gt;=0,C381&lt;=1),0,1))</f>
        <v>0</v>
      </c>
    </row>
    <row r="382" spans="1:32" ht="21" customHeight="1">
      <c r="A382" s="68">
        <f>377</f>
        <v>377</v>
      </c>
      <c r="B382" s="69">
        <f>EDATE(入力設定!$B$7,A382-1)</f>
        <v>57770</v>
      </c>
      <c r="C382" s="80">
        <f>INDEX(入力設定!$C$15:$C$24,INT((A382-1)/60)+1)</f>
        <v>0.05</v>
      </c>
      <c r="D382" s="70">
        <f t="shared" ca="1" si="127"/>
        <v>563187.65754031646</v>
      </c>
      <c r="E382" s="70">
        <f t="shared" ca="1" si="128"/>
        <v>4</v>
      </c>
      <c r="F382" s="70">
        <f ca="1">IF(D382+Z382&lt;0.000001,0,IF(D382&lt;0.000001,F381,IF(OR(AE382=1,AND(K381&gt;0,入力設定!$B$8="返済額軽減型",入力設定!$B$11="翌月")),IF(C382=0,D382/MAX(1,E382),D382*(C382/12)/(1-(1+C382/12)^(-MAX(1,E382)))),F381)))</f>
        <v>142266.59803560362</v>
      </c>
      <c r="G382" s="70">
        <f t="shared" ca="1" si="110"/>
        <v>142266.59803560362</v>
      </c>
      <c r="H382" s="70">
        <f t="shared" ca="1" si="111"/>
        <v>2346.6152397513188</v>
      </c>
      <c r="I382" s="70">
        <f t="shared" ca="1" si="112"/>
        <v>139919.98279585229</v>
      </c>
      <c r="J382" s="70">
        <f>SUMIFS(入力設定!$G$5:$G$24,入力設定!$F$5:$F$24,A382)</f>
        <v>0</v>
      </c>
      <c r="K382" s="70">
        <f t="shared" ca="1" si="113"/>
        <v>0</v>
      </c>
      <c r="L382" s="70">
        <f ca="1">IF(K382&gt;0,入力設定!$B$9,0)</f>
        <v>0</v>
      </c>
      <c r="M382" s="70">
        <f t="shared" ca="1" si="114"/>
        <v>423267.67474446417</v>
      </c>
      <c r="N382" s="70">
        <f ca="1">IF(M382+AA382&lt;0.000001,0,IF(AND(K382&gt;0,入力設定!$B$8="期間短縮型",AA382&lt;0.000001,F382&gt;M382*C382/12),MAX(1,MIN(E382-1,IF(C382=0,ROUNDUP(M382/F382,0),ROUNDUP(-LN(1-M382*(C382/12)/F382)/LN(1+C382/12),0)))),MAX(1,E382-1)))</f>
        <v>3</v>
      </c>
      <c r="O382" s="70">
        <f t="shared" ca="1" si="115"/>
        <v>142266.59803560362</v>
      </c>
      <c r="P382" s="70">
        <f t="shared" ca="1" si="129"/>
        <v>6028287.728714251</v>
      </c>
      <c r="Q382" s="70">
        <f ca="1">IF(OR(A382&gt;入力設定!$B$6*12,P382+AC382&lt;0.000001),0,IF(P382&lt;0.000001,Q381,IF(AE382=1,IF(C382=0,P382/MAX(1,入力設定!$B$6*12-A382+1),P382*(C382/12)/(1-(1+C382/12)^(-MAX(1,入力設定!$B$6*12-A382+1)))),Q381)))</f>
        <v>150233.43899513123</v>
      </c>
      <c r="R382" s="70">
        <f ca="1">IF(P382+AC382&lt;0.000001,0,IF(A382=入力設定!$B$6*12,P382+AB382+AC382,MIN(Q382,P382+AB382+AC382)))</f>
        <v>150233.43899513123</v>
      </c>
      <c r="S382" s="70">
        <f t="shared" ca="1" si="116"/>
        <v>25117.865536309382</v>
      </c>
      <c r="T382" s="70">
        <f t="shared" ca="1" si="117"/>
        <v>125115.57345882185</v>
      </c>
      <c r="U382" s="70">
        <f t="shared" ca="1" si="118"/>
        <v>5903172.1552554294</v>
      </c>
      <c r="V382" s="70">
        <f t="shared" ca="1" si="119"/>
        <v>0</v>
      </c>
      <c r="W382" s="70">
        <f t="shared" ca="1" si="120"/>
        <v>0</v>
      </c>
      <c r="X382" s="70">
        <f t="shared" ca="1" si="121"/>
        <v>0</v>
      </c>
      <c r="Y382" s="71">
        <f t="shared" ca="1" si="122"/>
        <v>2346.6152397513188</v>
      </c>
      <c r="Z382" s="71">
        <f t="shared" ca="1" si="130"/>
        <v>0</v>
      </c>
      <c r="AA382" s="71">
        <f t="shared" ca="1" si="123"/>
        <v>0</v>
      </c>
      <c r="AB382" s="71">
        <f t="shared" ca="1" si="124"/>
        <v>25117.865536309382</v>
      </c>
      <c r="AC382" s="71">
        <f t="shared" ca="1" si="131"/>
        <v>0</v>
      </c>
      <c r="AD382" s="71">
        <f t="shared" ca="1" si="125"/>
        <v>0</v>
      </c>
      <c r="AE382" s="72">
        <f t="shared" si="126"/>
        <v>0</v>
      </c>
      <c r="AF382" s="73">
        <f>IF(A382&gt;入力設定!$B$6*12,0,IF(AND(ISNUMBER(C382),C382&gt;=0,C382&lt;=1),0,1))</f>
        <v>0</v>
      </c>
    </row>
    <row r="383" spans="1:32" ht="21" customHeight="1">
      <c r="A383" s="68">
        <f>378</f>
        <v>378</v>
      </c>
      <c r="B383" s="69">
        <f>EDATE(入力設定!$B$7,A383-1)</f>
        <v>57801</v>
      </c>
      <c r="C383" s="80">
        <f>INDEX(入力設定!$C$15:$C$24,INT((A383-1)/60)+1)</f>
        <v>0.05</v>
      </c>
      <c r="D383" s="70">
        <f t="shared" ca="1" si="127"/>
        <v>423267.67474446417</v>
      </c>
      <c r="E383" s="70">
        <f t="shared" ca="1" si="128"/>
        <v>3</v>
      </c>
      <c r="F383" s="70">
        <f ca="1">IF(D383+Z383&lt;0.000001,0,IF(D383&lt;0.000001,F382,IF(OR(AE383=1,AND(K382&gt;0,入力設定!$B$8="返済額軽減型",入力設定!$B$11="翌月")),IF(C383=0,D383/MAX(1,E383),D383*(C383/12)/(1-(1+C383/12)^(-MAX(1,E383)))),F382)))</f>
        <v>142266.59803560362</v>
      </c>
      <c r="G383" s="70">
        <f t="shared" ca="1" si="110"/>
        <v>142266.59803560362</v>
      </c>
      <c r="H383" s="70">
        <f t="shared" ca="1" si="111"/>
        <v>1763.6153114352674</v>
      </c>
      <c r="I383" s="70">
        <f t="shared" ca="1" si="112"/>
        <v>140502.98272416834</v>
      </c>
      <c r="J383" s="70">
        <f>SUMIFS(入力設定!$G$5:$G$24,入力設定!$F$5:$F$24,A383)</f>
        <v>0</v>
      </c>
      <c r="K383" s="70">
        <f t="shared" ca="1" si="113"/>
        <v>0</v>
      </c>
      <c r="L383" s="70">
        <f ca="1">IF(K383&gt;0,入力設定!$B$9,0)</f>
        <v>0</v>
      </c>
      <c r="M383" s="70">
        <f t="shared" ca="1" si="114"/>
        <v>282764.69202029583</v>
      </c>
      <c r="N383" s="70">
        <f ca="1">IF(M383+AA383&lt;0.000001,0,IF(AND(K383&gt;0,入力設定!$B$8="期間短縮型",AA383&lt;0.000001,F383&gt;M383*C383/12),MAX(1,MIN(E383-1,IF(C383=0,ROUNDUP(M383/F383,0),ROUNDUP(-LN(1-M383*(C383/12)/F383)/LN(1+C383/12),0)))),MAX(1,E383-1)))</f>
        <v>2</v>
      </c>
      <c r="O383" s="70">
        <f t="shared" ca="1" si="115"/>
        <v>142266.59803560362</v>
      </c>
      <c r="P383" s="70">
        <f t="shared" ca="1" si="129"/>
        <v>5903172.1552554294</v>
      </c>
      <c r="Q383" s="70">
        <f ca="1">IF(OR(A383&gt;入力設定!$B$6*12,P383+AC383&lt;0.000001),0,IF(P383&lt;0.000001,Q382,IF(AE383=1,IF(C383=0,P383/MAX(1,入力設定!$B$6*12-A383+1),P383*(C383/12)/(1-(1+C383/12)^(-MAX(1,入力設定!$B$6*12-A383+1)))),Q382)))</f>
        <v>150233.43899513123</v>
      </c>
      <c r="R383" s="70">
        <f ca="1">IF(P383+AC383&lt;0.000001,0,IF(A383=入力設定!$B$6*12,P383+AB383+AC383,MIN(Q383,P383+AB383+AC383)))</f>
        <v>150233.43899513123</v>
      </c>
      <c r="S383" s="70">
        <f t="shared" ca="1" si="116"/>
        <v>24596.550646897624</v>
      </c>
      <c r="T383" s="70">
        <f t="shared" ca="1" si="117"/>
        <v>125636.88834823361</v>
      </c>
      <c r="U383" s="70">
        <f t="shared" ca="1" si="118"/>
        <v>5777535.2669071956</v>
      </c>
      <c r="V383" s="70">
        <f t="shared" ca="1" si="119"/>
        <v>0</v>
      </c>
      <c r="W383" s="70">
        <f t="shared" ca="1" si="120"/>
        <v>0</v>
      </c>
      <c r="X383" s="70">
        <f t="shared" ca="1" si="121"/>
        <v>0</v>
      </c>
      <c r="Y383" s="71">
        <f t="shared" ca="1" si="122"/>
        <v>1763.6153114352674</v>
      </c>
      <c r="Z383" s="71">
        <f t="shared" ca="1" si="130"/>
        <v>0</v>
      </c>
      <c r="AA383" s="71">
        <f t="shared" ca="1" si="123"/>
        <v>0</v>
      </c>
      <c r="AB383" s="71">
        <f t="shared" ca="1" si="124"/>
        <v>24596.550646897624</v>
      </c>
      <c r="AC383" s="71">
        <f t="shared" ca="1" si="131"/>
        <v>0</v>
      </c>
      <c r="AD383" s="71">
        <f t="shared" ca="1" si="125"/>
        <v>0</v>
      </c>
      <c r="AE383" s="72">
        <f t="shared" si="126"/>
        <v>0</v>
      </c>
      <c r="AF383" s="73">
        <f>IF(A383&gt;入力設定!$B$6*12,0,IF(AND(ISNUMBER(C383),C383&gt;=0,C383&lt;=1),0,1))</f>
        <v>0</v>
      </c>
    </row>
    <row r="384" spans="1:32" ht="21" customHeight="1">
      <c r="A384" s="68">
        <f>379</f>
        <v>379</v>
      </c>
      <c r="B384" s="69">
        <f>EDATE(入力設定!$B$7,A384-1)</f>
        <v>57831</v>
      </c>
      <c r="C384" s="80">
        <f>INDEX(入力設定!$C$15:$C$24,INT((A384-1)/60)+1)</f>
        <v>0.05</v>
      </c>
      <c r="D384" s="70">
        <f t="shared" ca="1" si="127"/>
        <v>282764.69202029583</v>
      </c>
      <c r="E384" s="70">
        <f t="shared" ca="1" si="128"/>
        <v>2</v>
      </c>
      <c r="F384" s="70">
        <f ca="1">IF(D384+Z384&lt;0.000001,0,IF(D384&lt;0.000001,F383,IF(OR(AE384=1,AND(K383&gt;0,入力設定!$B$8="返済額軽減型",入力設定!$B$11="翌月")),IF(C384=0,D384/MAX(1,E384),D384*(C384/12)/(1-(1+C384/12)^(-MAX(1,E384)))),F383)))</f>
        <v>142266.59803560362</v>
      </c>
      <c r="G384" s="70">
        <f t="shared" ca="1" si="110"/>
        <v>142266.59803560362</v>
      </c>
      <c r="H384" s="70">
        <f t="shared" ca="1" si="111"/>
        <v>1178.1862167512327</v>
      </c>
      <c r="I384" s="70">
        <f t="shared" ca="1" si="112"/>
        <v>141088.41181885239</v>
      </c>
      <c r="J384" s="70">
        <f>SUMIFS(入力設定!$G$5:$G$24,入力設定!$F$5:$F$24,A384)</f>
        <v>0</v>
      </c>
      <c r="K384" s="70">
        <f t="shared" ca="1" si="113"/>
        <v>0</v>
      </c>
      <c r="L384" s="70">
        <f ca="1">IF(K384&gt;0,入力設定!$B$9,0)</f>
        <v>0</v>
      </c>
      <c r="M384" s="70">
        <f t="shared" ca="1" si="114"/>
        <v>141676.28020144344</v>
      </c>
      <c r="N384" s="70">
        <f ca="1">IF(M384+AA384&lt;0.000001,0,IF(AND(K384&gt;0,入力設定!$B$8="期間短縮型",AA384&lt;0.000001,F384&gt;M384*C384/12),MAX(1,MIN(E384-1,IF(C384=0,ROUNDUP(M384/F384,0),ROUNDUP(-LN(1-M384*(C384/12)/F384)/LN(1+C384/12),0)))),MAX(1,E384-1)))</f>
        <v>1</v>
      </c>
      <c r="O384" s="70">
        <f t="shared" ca="1" si="115"/>
        <v>142266.59803560362</v>
      </c>
      <c r="P384" s="70">
        <f t="shared" ca="1" si="129"/>
        <v>5777535.2669071956</v>
      </c>
      <c r="Q384" s="70">
        <f ca="1">IF(OR(A384&gt;入力設定!$B$6*12,P384+AC384&lt;0.000001),0,IF(P384&lt;0.000001,Q383,IF(AE384=1,IF(C384=0,P384/MAX(1,入力設定!$B$6*12-A384+1),P384*(C384/12)/(1-(1+C384/12)^(-MAX(1,入力設定!$B$6*12-A384+1)))),Q383)))</f>
        <v>150233.43899513123</v>
      </c>
      <c r="R384" s="70">
        <f ca="1">IF(P384+AC384&lt;0.000001,0,IF(A384=入力設定!$B$6*12,P384+AB384+AC384,MIN(Q384,P384+AB384+AC384)))</f>
        <v>150233.43899513123</v>
      </c>
      <c r="S384" s="70">
        <f t="shared" ca="1" si="116"/>
        <v>24073.063612113314</v>
      </c>
      <c r="T384" s="70">
        <f t="shared" ca="1" si="117"/>
        <v>126160.37538301792</v>
      </c>
      <c r="U384" s="70">
        <f t="shared" ca="1" si="118"/>
        <v>5651374.891524178</v>
      </c>
      <c r="V384" s="70">
        <f t="shared" ca="1" si="119"/>
        <v>0</v>
      </c>
      <c r="W384" s="70">
        <f t="shared" ca="1" si="120"/>
        <v>0</v>
      </c>
      <c r="X384" s="70">
        <f t="shared" ca="1" si="121"/>
        <v>0</v>
      </c>
      <c r="Y384" s="71">
        <f t="shared" ca="1" si="122"/>
        <v>1178.1862167512327</v>
      </c>
      <c r="Z384" s="71">
        <f t="shared" ca="1" si="130"/>
        <v>0</v>
      </c>
      <c r="AA384" s="71">
        <f t="shared" ca="1" si="123"/>
        <v>0</v>
      </c>
      <c r="AB384" s="71">
        <f t="shared" ca="1" si="124"/>
        <v>24073.063612113314</v>
      </c>
      <c r="AC384" s="71">
        <f t="shared" ca="1" si="131"/>
        <v>0</v>
      </c>
      <c r="AD384" s="71">
        <f t="shared" ca="1" si="125"/>
        <v>0</v>
      </c>
      <c r="AE384" s="72">
        <f t="shared" si="126"/>
        <v>0</v>
      </c>
      <c r="AF384" s="73">
        <f>IF(A384&gt;入力設定!$B$6*12,0,IF(AND(ISNUMBER(C384),C384&gt;=0,C384&lt;=1),0,1))</f>
        <v>0</v>
      </c>
    </row>
    <row r="385" spans="1:32" ht="21" customHeight="1">
      <c r="A385" s="68">
        <f>380</f>
        <v>380</v>
      </c>
      <c r="B385" s="69">
        <f>EDATE(入力設定!$B$7,A385-1)</f>
        <v>57862</v>
      </c>
      <c r="C385" s="80">
        <f>INDEX(入力設定!$C$15:$C$24,INT((A385-1)/60)+1)</f>
        <v>0.05</v>
      </c>
      <c r="D385" s="70">
        <f t="shared" ca="1" si="127"/>
        <v>141676.28020144344</v>
      </c>
      <c r="E385" s="70">
        <f t="shared" ca="1" si="128"/>
        <v>1</v>
      </c>
      <c r="F385" s="70">
        <f ca="1">IF(D385+Z385&lt;0.000001,0,IF(D385&lt;0.000001,F384,IF(OR(AE385=1,AND(K384&gt;0,入力設定!$B$8="返済額軽減型",入力設定!$B$11="翌月")),IF(C385=0,D385/MAX(1,E385),D385*(C385/12)/(1-(1+C385/12)^(-MAX(1,E385)))),F384)))</f>
        <v>142266.59803560362</v>
      </c>
      <c r="G385" s="70">
        <f t="shared" ca="1" si="110"/>
        <v>142266.59803561613</v>
      </c>
      <c r="H385" s="70">
        <f t="shared" ca="1" si="111"/>
        <v>590.31783417268105</v>
      </c>
      <c r="I385" s="70">
        <f t="shared" ca="1" si="112"/>
        <v>141676.28020144344</v>
      </c>
      <c r="J385" s="70">
        <f>SUMIFS(入力設定!$G$5:$G$24,入力設定!$F$5:$F$24,A385)</f>
        <v>0</v>
      </c>
      <c r="K385" s="70">
        <f t="shared" ca="1" si="113"/>
        <v>0</v>
      </c>
      <c r="L385" s="70">
        <f ca="1">IF(K385&gt;0,入力設定!$B$9,0)</f>
        <v>0</v>
      </c>
      <c r="M385" s="70">
        <f t="shared" ca="1" si="114"/>
        <v>0</v>
      </c>
      <c r="N385" s="70">
        <f ca="1">IF(M385+AA385&lt;0.000001,0,IF(AND(K385&gt;0,入力設定!$B$8="期間短縮型",AA385&lt;0.000001,F385&gt;M385*C385/12),MAX(1,MIN(E385-1,IF(C385=0,ROUNDUP(M385/F385,0),ROUNDUP(-LN(1-M385*(C385/12)/F385)/LN(1+C385/12),0)))),MAX(1,E385-1)))</f>
        <v>0</v>
      </c>
      <c r="O385" s="70">
        <f t="shared" ca="1" si="115"/>
        <v>142266.59803561613</v>
      </c>
      <c r="P385" s="70">
        <f t="shared" ca="1" si="129"/>
        <v>5651374.891524178</v>
      </c>
      <c r="Q385" s="70">
        <f ca="1">IF(OR(A385&gt;入力設定!$B$6*12,P385+AC385&lt;0.000001),0,IF(P385&lt;0.000001,Q384,IF(AE385=1,IF(C385=0,P385/MAX(1,入力設定!$B$6*12-A385+1),P385*(C385/12)/(1-(1+C385/12)^(-MAX(1,入力設定!$B$6*12-A385+1)))),Q384)))</f>
        <v>150233.43899513123</v>
      </c>
      <c r="R385" s="70">
        <f ca="1">IF(P385+AC385&lt;0.000001,0,IF(A385=入力設定!$B$6*12,P385+AB385+AC385,MIN(Q385,P385+AB385+AC385)))</f>
        <v>150233.43899513123</v>
      </c>
      <c r="S385" s="70">
        <f t="shared" ca="1" si="116"/>
        <v>23547.395381350743</v>
      </c>
      <c r="T385" s="70">
        <f t="shared" ca="1" si="117"/>
        <v>126686.04361378049</v>
      </c>
      <c r="U385" s="70">
        <f t="shared" ca="1" si="118"/>
        <v>5524688.8479103977</v>
      </c>
      <c r="V385" s="70">
        <f t="shared" ca="1" si="119"/>
        <v>0</v>
      </c>
      <c r="W385" s="70">
        <f t="shared" ca="1" si="120"/>
        <v>0</v>
      </c>
      <c r="X385" s="70">
        <f t="shared" ca="1" si="121"/>
        <v>0</v>
      </c>
      <c r="Y385" s="71">
        <f t="shared" ca="1" si="122"/>
        <v>590.31783417268105</v>
      </c>
      <c r="Z385" s="71">
        <f t="shared" ca="1" si="130"/>
        <v>0</v>
      </c>
      <c r="AA385" s="71">
        <f t="shared" ca="1" si="123"/>
        <v>0</v>
      </c>
      <c r="AB385" s="71">
        <f t="shared" ca="1" si="124"/>
        <v>23547.395381350743</v>
      </c>
      <c r="AC385" s="71">
        <f t="shared" ca="1" si="131"/>
        <v>0</v>
      </c>
      <c r="AD385" s="71">
        <f t="shared" ca="1" si="125"/>
        <v>0</v>
      </c>
      <c r="AE385" s="72">
        <f t="shared" si="126"/>
        <v>0</v>
      </c>
      <c r="AF385" s="73">
        <f>IF(A385&gt;入力設定!$B$6*12,0,IF(AND(ISNUMBER(C385),C385&gt;=0,C385&lt;=1),0,1))</f>
        <v>0</v>
      </c>
    </row>
    <row r="386" spans="1:32" ht="21" customHeight="1">
      <c r="A386" s="68">
        <f>381</f>
        <v>381</v>
      </c>
      <c r="B386" s="69">
        <f>EDATE(入力設定!$B$7,A386-1)</f>
        <v>57892</v>
      </c>
      <c r="C386" s="80">
        <f>INDEX(入力設定!$C$15:$C$24,INT((A386-1)/60)+1)</f>
        <v>0.05</v>
      </c>
      <c r="D386" s="70">
        <f t="shared" ca="1" si="127"/>
        <v>0</v>
      </c>
      <c r="E386" s="70">
        <f t="shared" ca="1" si="128"/>
        <v>0</v>
      </c>
      <c r="F386" s="70">
        <f ca="1">IF(D386+Z386&lt;0.000001,0,IF(D386&lt;0.000001,F385,IF(OR(AE386=1,AND(K385&gt;0,入力設定!$B$8="返済額軽減型",入力設定!$B$11="翌月")),IF(C386=0,D386/MAX(1,E386),D386*(C386/12)/(1-(1+C386/12)^(-MAX(1,E386)))),F385)))</f>
        <v>0</v>
      </c>
      <c r="G386" s="70">
        <f t="shared" ca="1" si="110"/>
        <v>0</v>
      </c>
      <c r="H386" s="70">
        <f t="shared" ca="1" si="111"/>
        <v>0</v>
      </c>
      <c r="I386" s="70">
        <f t="shared" ca="1" si="112"/>
        <v>0</v>
      </c>
      <c r="J386" s="70">
        <f>SUMIFS(入力設定!$G$5:$G$24,入力設定!$F$5:$F$24,A386)</f>
        <v>0</v>
      </c>
      <c r="K386" s="70">
        <f t="shared" ca="1" si="113"/>
        <v>0</v>
      </c>
      <c r="L386" s="70">
        <f ca="1">IF(K386&gt;0,入力設定!$B$9,0)</f>
        <v>0</v>
      </c>
      <c r="M386" s="70">
        <f t="shared" ca="1" si="114"/>
        <v>0</v>
      </c>
      <c r="N386" s="70">
        <f ca="1">IF(M386+AA386&lt;0.000001,0,IF(AND(K386&gt;0,入力設定!$B$8="期間短縮型",AA386&lt;0.000001,F386&gt;M386*C386/12),MAX(1,MIN(E386-1,IF(C386=0,ROUNDUP(M386/F386,0),ROUNDUP(-LN(1-M386*(C386/12)/F386)/LN(1+C386/12),0)))),MAX(1,E386-1)))</f>
        <v>0</v>
      </c>
      <c r="O386" s="70">
        <f t="shared" ca="1" si="115"/>
        <v>0</v>
      </c>
      <c r="P386" s="70">
        <f t="shared" ca="1" si="129"/>
        <v>5524688.8479103977</v>
      </c>
      <c r="Q386" s="70">
        <f ca="1">IF(OR(A386&gt;入力設定!$B$6*12,P386+AC386&lt;0.000001),0,IF(P386&lt;0.000001,Q385,IF(AE386=1,IF(C386=0,P386/MAX(1,入力設定!$B$6*12-A386+1),P386*(C386/12)/(1-(1+C386/12)^(-MAX(1,入力設定!$B$6*12-A386+1)))),Q385)))</f>
        <v>150233.43899513123</v>
      </c>
      <c r="R386" s="70">
        <f ca="1">IF(P386+AC386&lt;0.000001,0,IF(A386=入力設定!$B$6*12,P386+AB386+AC386,MIN(Q386,P386+AB386+AC386)))</f>
        <v>150233.43899513123</v>
      </c>
      <c r="S386" s="70">
        <f t="shared" ca="1" si="116"/>
        <v>23019.536866293322</v>
      </c>
      <c r="T386" s="70">
        <f t="shared" ca="1" si="117"/>
        <v>127213.90212883792</v>
      </c>
      <c r="U386" s="70">
        <f t="shared" ca="1" si="118"/>
        <v>5397474.9457815597</v>
      </c>
      <c r="V386" s="70">
        <f t="shared" ca="1" si="119"/>
        <v>0</v>
      </c>
      <c r="W386" s="70">
        <f t="shared" ca="1" si="120"/>
        <v>0</v>
      </c>
      <c r="X386" s="70">
        <f t="shared" ca="1" si="121"/>
        <v>0</v>
      </c>
      <c r="Y386" s="71">
        <f t="shared" ca="1" si="122"/>
        <v>0</v>
      </c>
      <c r="Z386" s="71">
        <f t="shared" ca="1" si="130"/>
        <v>0</v>
      </c>
      <c r="AA386" s="71">
        <f t="shared" ca="1" si="123"/>
        <v>0</v>
      </c>
      <c r="AB386" s="71">
        <f t="shared" ca="1" si="124"/>
        <v>23019.536866293322</v>
      </c>
      <c r="AC386" s="71">
        <f t="shared" ca="1" si="131"/>
        <v>0</v>
      </c>
      <c r="AD386" s="71">
        <f t="shared" ca="1" si="125"/>
        <v>0</v>
      </c>
      <c r="AE386" s="72">
        <f t="shared" si="126"/>
        <v>0</v>
      </c>
      <c r="AF386" s="73">
        <f>IF(A386&gt;入力設定!$B$6*12,0,IF(AND(ISNUMBER(C386),C386&gt;=0,C386&lt;=1),0,1))</f>
        <v>0</v>
      </c>
    </row>
    <row r="387" spans="1:32" ht="21" customHeight="1">
      <c r="A387" s="68">
        <f>382</f>
        <v>382</v>
      </c>
      <c r="B387" s="69">
        <f>EDATE(入力設定!$B$7,A387-1)</f>
        <v>57923</v>
      </c>
      <c r="C387" s="80">
        <f>INDEX(入力設定!$C$15:$C$24,INT((A387-1)/60)+1)</f>
        <v>0.05</v>
      </c>
      <c r="D387" s="70">
        <f t="shared" ca="1" si="127"/>
        <v>0</v>
      </c>
      <c r="E387" s="70">
        <f t="shared" ca="1" si="128"/>
        <v>0</v>
      </c>
      <c r="F387" s="70">
        <f ca="1">IF(D387+Z387&lt;0.000001,0,IF(D387&lt;0.000001,F386,IF(OR(AE387=1,AND(K386&gt;0,入力設定!$B$8="返済額軽減型",入力設定!$B$11="翌月")),IF(C387=0,D387/MAX(1,E387),D387*(C387/12)/(1-(1+C387/12)^(-MAX(1,E387)))),F386)))</f>
        <v>0</v>
      </c>
      <c r="G387" s="70">
        <f t="shared" ca="1" si="110"/>
        <v>0</v>
      </c>
      <c r="H387" s="70">
        <f t="shared" ca="1" si="111"/>
        <v>0</v>
      </c>
      <c r="I387" s="70">
        <f t="shared" ca="1" si="112"/>
        <v>0</v>
      </c>
      <c r="J387" s="70">
        <f>SUMIFS(入力設定!$G$5:$G$24,入力設定!$F$5:$F$24,A387)</f>
        <v>0</v>
      </c>
      <c r="K387" s="70">
        <f t="shared" ca="1" si="113"/>
        <v>0</v>
      </c>
      <c r="L387" s="70">
        <f ca="1">IF(K387&gt;0,入力設定!$B$9,0)</f>
        <v>0</v>
      </c>
      <c r="M387" s="70">
        <f t="shared" ca="1" si="114"/>
        <v>0</v>
      </c>
      <c r="N387" s="70">
        <f ca="1">IF(M387+AA387&lt;0.000001,0,IF(AND(K387&gt;0,入力設定!$B$8="期間短縮型",AA387&lt;0.000001,F387&gt;M387*C387/12),MAX(1,MIN(E387-1,IF(C387=0,ROUNDUP(M387/F387,0),ROUNDUP(-LN(1-M387*(C387/12)/F387)/LN(1+C387/12),0)))),MAX(1,E387-1)))</f>
        <v>0</v>
      </c>
      <c r="O387" s="70">
        <f t="shared" ca="1" si="115"/>
        <v>0</v>
      </c>
      <c r="P387" s="70">
        <f t="shared" ca="1" si="129"/>
        <v>5397474.9457815597</v>
      </c>
      <c r="Q387" s="70">
        <f ca="1">IF(OR(A387&gt;入力設定!$B$6*12,P387+AC387&lt;0.000001),0,IF(P387&lt;0.000001,Q386,IF(AE387=1,IF(C387=0,P387/MAX(1,入力設定!$B$6*12-A387+1),P387*(C387/12)/(1-(1+C387/12)^(-MAX(1,入力設定!$B$6*12-A387+1)))),Q386)))</f>
        <v>150233.43899513123</v>
      </c>
      <c r="R387" s="70">
        <f ca="1">IF(P387+AC387&lt;0.000001,0,IF(A387=入力設定!$B$6*12,P387+AB387+AC387,MIN(Q387,P387+AB387+AC387)))</f>
        <v>150233.43899513123</v>
      </c>
      <c r="S387" s="70">
        <f t="shared" ca="1" si="116"/>
        <v>22489.4789407565</v>
      </c>
      <c r="T387" s="70">
        <f t="shared" ca="1" si="117"/>
        <v>127743.96005437474</v>
      </c>
      <c r="U387" s="70">
        <f t="shared" ca="1" si="118"/>
        <v>5269730.9857271854</v>
      </c>
      <c r="V387" s="70">
        <f t="shared" ca="1" si="119"/>
        <v>0</v>
      </c>
      <c r="W387" s="70">
        <f t="shared" ca="1" si="120"/>
        <v>0</v>
      </c>
      <c r="X387" s="70">
        <f t="shared" ca="1" si="121"/>
        <v>0</v>
      </c>
      <c r="Y387" s="71">
        <f t="shared" ca="1" si="122"/>
        <v>0</v>
      </c>
      <c r="Z387" s="71">
        <f t="shared" ca="1" si="130"/>
        <v>0</v>
      </c>
      <c r="AA387" s="71">
        <f t="shared" ca="1" si="123"/>
        <v>0</v>
      </c>
      <c r="AB387" s="71">
        <f t="shared" ca="1" si="124"/>
        <v>22489.4789407565</v>
      </c>
      <c r="AC387" s="71">
        <f t="shared" ca="1" si="131"/>
        <v>0</v>
      </c>
      <c r="AD387" s="71">
        <f t="shared" ca="1" si="125"/>
        <v>0</v>
      </c>
      <c r="AE387" s="72">
        <f t="shared" si="126"/>
        <v>0</v>
      </c>
      <c r="AF387" s="73">
        <f>IF(A387&gt;入力設定!$B$6*12,0,IF(AND(ISNUMBER(C387),C387&gt;=0,C387&lt;=1),0,1))</f>
        <v>0</v>
      </c>
    </row>
    <row r="388" spans="1:32" ht="21" customHeight="1">
      <c r="A388" s="68">
        <f>383</f>
        <v>383</v>
      </c>
      <c r="B388" s="69">
        <f>EDATE(入力設定!$B$7,A388-1)</f>
        <v>57954</v>
      </c>
      <c r="C388" s="80">
        <f>INDEX(入力設定!$C$15:$C$24,INT((A388-1)/60)+1)</f>
        <v>0.05</v>
      </c>
      <c r="D388" s="70">
        <f t="shared" ca="1" si="127"/>
        <v>0</v>
      </c>
      <c r="E388" s="70">
        <f t="shared" ca="1" si="128"/>
        <v>0</v>
      </c>
      <c r="F388" s="70">
        <f ca="1">IF(D388+Z388&lt;0.000001,0,IF(D388&lt;0.000001,F387,IF(OR(AE388=1,AND(K387&gt;0,入力設定!$B$8="返済額軽減型",入力設定!$B$11="翌月")),IF(C388=0,D388/MAX(1,E388),D388*(C388/12)/(1-(1+C388/12)^(-MAX(1,E388)))),F387)))</f>
        <v>0</v>
      </c>
      <c r="G388" s="70">
        <f t="shared" ca="1" si="110"/>
        <v>0</v>
      </c>
      <c r="H388" s="70">
        <f t="shared" ca="1" si="111"/>
        <v>0</v>
      </c>
      <c r="I388" s="70">
        <f t="shared" ca="1" si="112"/>
        <v>0</v>
      </c>
      <c r="J388" s="70">
        <f>SUMIFS(入力設定!$G$5:$G$24,入力設定!$F$5:$F$24,A388)</f>
        <v>0</v>
      </c>
      <c r="K388" s="70">
        <f t="shared" ca="1" si="113"/>
        <v>0</v>
      </c>
      <c r="L388" s="70">
        <f ca="1">IF(K388&gt;0,入力設定!$B$9,0)</f>
        <v>0</v>
      </c>
      <c r="M388" s="70">
        <f t="shared" ca="1" si="114"/>
        <v>0</v>
      </c>
      <c r="N388" s="70">
        <f ca="1">IF(M388+AA388&lt;0.000001,0,IF(AND(K388&gt;0,入力設定!$B$8="期間短縮型",AA388&lt;0.000001,F388&gt;M388*C388/12),MAX(1,MIN(E388-1,IF(C388=0,ROUNDUP(M388/F388,0),ROUNDUP(-LN(1-M388*(C388/12)/F388)/LN(1+C388/12),0)))),MAX(1,E388-1)))</f>
        <v>0</v>
      </c>
      <c r="O388" s="70">
        <f t="shared" ca="1" si="115"/>
        <v>0</v>
      </c>
      <c r="P388" s="70">
        <f t="shared" ca="1" si="129"/>
        <v>5269730.9857271854</v>
      </c>
      <c r="Q388" s="70">
        <f ca="1">IF(OR(A388&gt;入力設定!$B$6*12,P388+AC388&lt;0.000001),0,IF(P388&lt;0.000001,Q387,IF(AE388=1,IF(C388=0,P388/MAX(1,入力設定!$B$6*12-A388+1),P388*(C388/12)/(1-(1+C388/12)^(-MAX(1,入力設定!$B$6*12-A388+1)))),Q387)))</f>
        <v>150233.43899513123</v>
      </c>
      <c r="R388" s="70">
        <f ca="1">IF(P388+AC388&lt;0.000001,0,IF(A388=入力設定!$B$6*12,P388+AB388+AC388,MIN(Q388,P388+AB388+AC388)))</f>
        <v>150233.43899513123</v>
      </c>
      <c r="S388" s="70">
        <f t="shared" ca="1" si="116"/>
        <v>21957.21244052994</v>
      </c>
      <c r="T388" s="70">
        <f t="shared" ca="1" si="117"/>
        <v>128276.22655460129</v>
      </c>
      <c r="U388" s="70">
        <f t="shared" ca="1" si="118"/>
        <v>5141454.7591725839</v>
      </c>
      <c r="V388" s="70">
        <f t="shared" ca="1" si="119"/>
        <v>0</v>
      </c>
      <c r="W388" s="70">
        <f t="shared" ca="1" si="120"/>
        <v>0</v>
      </c>
      <c r="X388" s="70">
        <f t="shared" ca="1" si="121"/>
        <v>0</v>
      </c>
      <c r="Y388" s="71">
        <f t="shared" ca="1" si="122"/>
        <v>0</v>
      </c>
      <c r="Z388" s="71">
        <f t="shared" ca="1" si="130"/>
        <v>0</v>
      </c>
      <c r="AA388" s="71">
        <f t="shared" ca="1" si="123"/>
        <v>0</v>
      </c>
      <c r="AB388" s="71">
        <f t="shared" ca="1" si="124"/>
        <v>21957.21244052994</v>
      </c>
      <c r="AC388" s="71">
        <f t="shared" ca="1" si="131"/>
        <v>0</v>
      </c>
      <c r="AD388" s="71">
        <f t="shared" ca="1" si="125"/>
        <v>0</v>
      </c>
      <c r="AE388" s="72">
        <f t="shared" si="126"/>
        <v>0</v>
      </c>
      <c r="AF388" s="73">
        <f>IF(A388&gt;入力設定!$B$6*12,0,IF(AND(ISNUMBER(C388),C388&gt;=0,C388&lt;=1),0,1))</f>
        <v>0</v>
      </c>
    </row>
    <row r="389" spans="1:32" ht="21" customHeight="1">
      <c r="A389" s="68">
        <f>384</f>
        <v>384</v>
      </c>
      <c r="B389" s="69">
        <f>EDATE(入力設定!$B$7,A389-1)</f>
        <v>57984</v>
      </c>
      <c r="C389" s="80">
        <f>INDEX(入力設定!$C$15:$C$24,INT((A389-1)/60)+1)</f>
        <v>0.05</v>
      </c>
      <c r="D389" s="70">
        <f t="shared" ca="1" si="127"/>
        <v>0</v>
      </c>
      <c r="E389" s="70">
        <f t="shared" ca="1" si="128"/>
        <v>0</v>
      </c>
      <c r="F389" s="70">
        <f ca="1">IF(D389+Z389&lt;0.000001,0,IF(D389&lt;0.000001,F388,IF(OR(AE389=1,AND(K388&gt;0,入力設定!$B$8="返済額軽減型",入力設定!$B$11="翌月")),IF(C389=0,D389/MAX(1,E389),D389*(C389/12)/(1-(1+C389/12)^(-MAX(1,E389)))),F388)))</f>
        <v>0</v>
      </c>
      <c r="G389" s="70">
        <f t="shared" ca="1" si="110"/>
        <v>0</v>
      </c>
      <c r="H389" s="70">
        <f t="shared" ca="1" si="111"/>
        <v>0</v>
      </c>
      <c r="I389" s="70">
        <f t="shared" ca="1" si="112"/>
        <v>0</v>
      </c>
      <c r="J389" s="70">
        <f>SUMIFS(入力設定!$G$5:$G$24,入力設定!$F$5:$F$24,A389)</f>
        <v>0</v>
      </c>
      <c r="K389" s="70">
        <f t="shared" ca="1" si="113"/>
        <v>0</v>
      </c>
      <c r="L389" s="70">
        <f ca="1">IF(K389&gt;0,入力設定!$B$9,0)</f>
        <v>0</v>
      </c>
      <c r="M389" s="70">
        <f t="shared" ca="1" si="114"/>
        <v>0</v>
      </c>
      <c r="N389" s="70">
        <f ca="1">IF(M389+AA389&lt;0.000001,0,IF(AND(K389&gt;0,入力設定!$B$8="期間短縮型",AA389&lt;0.000001,F389&gt;M389*C389/12),MAX(1,MIN(E389-1,IF(C389=0,ROUNDUP(M389/F389,0),ROUNDUP(-LN(1-M389*(C389/12)/F389)/LN(1+C389/12),0)))),MAX(1,E389-1)))</f>
        <v>0</v>
      </c>
      <c r="O389" s="70">
        <f t="shared" ca="1" si="115"/>
        <v>0</v>
      </c>
      <c r="P389" s="70">
        <f t="shared" ca="1" si="129"/>
        <v>5141454.7591725839</v>
      </c>
      <c r="Q389" s="70">
        <f ca="1">IF(OR(A389&gt;入力設定!$B$6*12,P389+AC389&lt;0.000001),0,IF(P389&lt;0.000001,Q388,IF(AE389=1,IF(C389=0,P389/MAX(1,入力設定!$B$6*12-A389+1),P389*(C389/12)/(1-(1+C389/12)^(-MAX(1,入力設定!$B$6*12-A389+1)))),Q388)))</f>
        <v>150233.43899513123</v>
      </c>
      <c r="R389" s="70">
        <f ca="1">IF(P389+AC389&lt;0.000001,0,IF(A389=入力設定!$B$6*12,P389+AB389+AC389,MIN(Q389,P389+AB389+AC389)))</f>
        <v>150233.43899513123</v>
      </c>
      <c r="S389" s="70">
        <f t="shared" ca="1" si="116"/>
        <v>21422.728163219101</v>
      </c>
      <c r="T389" s="70">
        <f t="shared" ca="1" si="117"/>
        <v>128810.71083191213</v>
      </c>
      <c r="U389" s="70">
        <f t="shared" ca="1" si="118"/>
        <v>5012644.0483406717</v>
      </c>
      <c r="V389" s="70">
        <f t="shared" ca="1" si="119"/>
        <v>0</v>
      </c>
      <c r="W389" s="70">
        <f t="shared" ca="1" si="120"/>
        <v>0</v>
      </c>
      <c r="X389" s="70">
        <f t="shared" ca="1" si="121"/>
        <v>0</v>
      </c>
      <c r="Y389" s="71">
        <f t="shared" ca="1" si="122"/>
        <v>0</v>
      </c>
      <c r="Z389" s="71">
        <f t="shared" ca="1" si="130"/>
        <v>0</v>
      </c>
      <c r="AA389" s="71">
        <f t="shared" ca="1" si="123"/>
        <v>0</v>
      </c>
      <c r="AB389" s="71">
        <f t="shared" ca="1" si="124"/>
        <v>21422.728163219101</v>
      </c>
      <c r="AC389" s="71">
        <f t="shared" ca="1" si="131"/>
        <v>0</v>
      </c>
      <c r="AD389" s="71">
        <f t="shared" ca="1" si="125"/>
        <v>0</v>
      </c>
      <c r="AE389" s="72">
        <f t="shared" si="126"/>
        <v>0</v>
      </c>
      <c r="AF389" s="73">
        <f>IF(A389&gt;入力設定!$B$6*12,0,IF(AND(ISNUMBER(C389),C389&gt;=0,C389&lt;=1),0,1))</f>
        <v>0</v>
      </c>
    </row>
    <row r="390" spans="1:32" ht="21" customHeight="1">
      <c r="A390" s="68">
        <f>385</f>
        <v>385</v>
      </c>
      <c r="B390" s="69">
        <f>EDATE(入力設定!$B$7,A390-1)</f>
        <v>58015</v>
      </c>
      <c r="C390" s="80">
        <f>INDEX(入力設定!$C$15:$C$24,INT((A390-1)/60)+1)</f>
        <v>0.05</v>
      </c>
      <c r="D390" s="70">
        <f t="shared" ca="1" si="127"/>
        <v>0</v>
      </c>
      <c r="E390" s="70">
        <f t="shared" ca="1" si="128"/>
        <v>0</v>
      </c>
      <c r="F390" s="70">
        <f ca="1">IF(D390+Z390&lt;0.000001,0,IF(D390&lt;0.000001,F389,IF(OR(AE390=1,AND(K389&gt;0,入力設定!$B$8="返済額軽減型",入力設定!$B$11="翌月")),IF(C390=0,D390/MAX(1,E390),D390*(C390/12)/(1-(1+C390/12)^(-MAX(1,E390)))),F389)))</f>
        <v>0</v>
      </c>
      <c r="G390" s="70">
        <f t="shared" ref="G390:G453" ca="1" si="132">IF(D390+Z390&lt;0.000001,0,IF(E390&lt;=1,D390+Y390+Z390,MIN(D390+Y390+Z390,F390)))</f>
        <v>0</v>
      </c>
      <c r="H390" s="70">
        <f t="shared" ref="H390:H453" ca="1" si="133">MIN(G390,Y390+Z390)</f>
        <v>0</v>
      </c>
      <c r="I390" s="70">
        <f t="shared" ref="I390:I453" ca="1" si="134">G390-H390</f>
        <v>0</v>
      </c>
      <c r="J390" s="70">
        <f>SUMIFS(入力設定!$G$5:$G$24,入力設定!$F$5:$F$24,A390)</f>
        <v>0</v>
      </c>
      <c r="K390" s="70">
        <f t="shared" ref="K390:K453" ca="1" si="135">MIN(MAX(0,D390-I390),J390)</f>
        <v>0</v>
      </c>
      <c r="L390" s="70">
        <f ca="1">IF(K390&gt;0,入力設定!$B$9,0)</f>
        <v>0</v>
      </c>
      <c r="M390" s="70">
        <f t="shared" ref="M390:M453" ca="1" si="136">MAX(0,D390-I390-K390)</f>
        <v>0</v>
      </c>
      <c r="N390" s="70">
        <f ca="1">IF(M390+AA390&lt;0.000001,0,IF(AND(K390&gt;0,入力設定!$B$8="期間短縮型",AA390&lt;0.000001,F390&gt;M390*C390/12),MAX(1,MIN(E390-1,IF(C390=0,ROUNDUP(M390/F390,0),ROUNDUP(-LN(1-M390*(C390/12)/F390)/LN(1+C390/12),0)))),MAX(1,E390-1)))</f>
        <v>0</v>
      </c>
      <c r="O390" s="70">
        <f t="shared" ref="O390:O453" ca="1" si="137">SUM(G390,K390,L390)</f>
        <v>0</v>
      </c>
      <c r="P390" s="70">
        <f t="shared" ca="1" si="129"/>
        <v>5012644.0483406717</v>
      </c>
      <c r="Q390" s="70">
        <f ca="1">IF(OR(A390&gt;入力設定!$B$6*12,P390+AC390&lt;0.000001),0,IF(P390&lt;0.000001,Q389,IF(AE390=1,IF(C390=0,P390/MAX(1,入力設定!$B$6*12-A390+1),P390*(C390/12)/(1-(1+C390/12)^(-MAX(1,入力設定!$B$6*12-A390+1)))),Q389)))</f>
        <v>150233.43899513123</v>
      </c>
      <c r="R390" s="70">
        <f ca="1">IF(P390+AC390&lt;0.000001,0,IF(A390=入力設定!$B$6*12,P390+AB390+AC390,MIN(Q390,P390+AB390+AC390)))</f>
        <v>150233.43899513123</v>
      </c>
      <c r="S390" s="70">
        <f t="shared" ref="S390:S453" ca="1" si="138">MIN(R390,AB390+AC390)</f>
        <v>20886.016868086135</v>
      </c>
      <c r="T390" s="70">
        <f t="shared" ref="T390:T453" ca="1" si="139">R390-S390</f>
        <v>129347.42212704509</v>
      </c>
      <c r="U390" s="70">
        <f t="shared" ref="U390:U453" ca="1" si="140">MAX(0,P390-T390)</f>
        <v>4883296.6262136269</v>
      </c>
      <c r="V390" s="70">
        <f t="shared" ref="V390:V453" ca="1" si="141">D390-I390-K390-M390</f>
        <v>0</v>
      </c>
      <c r="W390" s="70">
        <f t="shared" ref="W390:W453" ca="1" si="142">P390-T390-U390</f>
        <v>0</v>
      </c>
      <c r="X390" s="70">
        <f t="shared" ref="X390:X453" ca="1" si="143">O390-G390-K390-L390</f>
        <v>0</v>
      </c>
      <c r="Y390" s="71">
        <f t="shared" ref="Y390:Y453" ca="1" si="144">D390*C390/12</f>
        <v>0</v>
      </c>
      <c r="Z390" s="71">
        <f t="shared" ca="1" si="130"/>
        <v>0</v>
      </c>
      <c r="AA390" s="71">
        <f t="shared" ref="AA390:AA453" ca="1" si="145">MAX(0,Z390+Y390-H390)</f>
        <v>0</v>
      </c>
      <c r="AB390" s="71">
        <f t="shared" ref="AB390:AB453" ca="1" si="146">P390*C390/12</f>
        <v>20886.016868086135</v>
      </c>
      <c r="AC390" s="71">
        <f t="shared" ca="1" si="131"/>
        <v>0</v>
      </c>
      <c r="AD390" s="71">
        <f t="shared" ref="AD390:AD453" ca="1" si="147">MAX(0,AC390+AB390-S390)</f>
        <v>0</v>
      </c>
      <c r="AE390" s="72">
        <f t="shared" ref="AE390:AE453" si="148">IF(MOD(A390-1,60)=0,1,0)</f>
        <v>0</v>
      </c>
      <c r="AF390" s="73">
        <f>IF(A390&gt;入力設定!$B$6*12,0,IF(AND(ISNUMBER(C390),C390&gt;=0,C390&lt;=1),0,1))</f>
        <v>0</v>
      </c>
    </row>
    <row r="391" spans="1:32" ht="21" customHeight="1">
      <c r="A391" s="68">
        <f>386</f>
        <v>386</v>
      </c>
      <c r="B391" s="69">
        <f>EDATE(入力設定!$B$7,A391-1)</f>
        <v>58045</v>
      </c>
      <c r="C391" s="80">
        <f>INDEX(入力設定!$C$15:$C$24,INT((A391-1)/60)+1)</f>
        <v>0.05</v>
      </c>
      <c r="D391" s="70">
        <f t="shared" ref="D391:D454" ca="1" si="149">M390</f>
        <v>0</v>
      </c>
      <c r="E391" s="70">
        <f t="shared" ref="E391:E454" ca="1" si="150">N390</f>
        <v>0</v>
      </c>
      <c r="F391" s="70">
        <f ca="1">IF(D391+Z391&lt;0.000001,0,IF(D391&lt;0.000001,F390,IF(OR(AE391=1,AND(K390&gt;0,入力設定!$B$8="返済額軽減型",入力設定!$B$11="翌月")),IF(C391=0,D391/MAX(1,E391),D391*(C391/12)/(1-(1+C391/12)^(-MAX(1,E391)))),F390)))</f>
        <v>0</v>
      </c>
      <c r="G391" s="70">
        <f t="shared" ca="1" si="132"/>
        <v>0</v>
      </c>
      <c r="H391" s="70">
        <f t="shared" ca="1" si="133"/>
        <v>0</v>
      </c>
      <c r="I391" s="70">
        <f t="shared" ca="1" si="134"/>
        <v>0</v>
      </c>
      <c r="J391" s="70">
        <f>SUMIFS(入力設定!$G$5:$G$24,入力設定!$F$5:$F$24,A391)</f>
        <v>0</v>
      </c>
      <c r="K391" s="70">
        <f t="shared" ca="1" si="135"/>
        <v>0</v>
      </c>
      <c r="L391" s="70">
        <f ca="1">IF(K391&gt;0,入力設定!$B$9,0)</f>
        <v>0</v>
      </c>
      <c r="M391" s="70">
        <f t="shared" ca="1" si="136"/>
        <v>0</v>
      </c>
      <c r="N391" s="70">
        <f ca="1">IF(M391+AA391&lt;0.000001,0,IF(AND(K391&gt;0,入力設定!$B$8="期間短縮型",AA391&lt;0.000001,F391&gt;M391*C391/12),MAX(1,MIN(E391-1,IF(C391=0,ROUNDUP(M391/F391,0),ROUNDUP(-LN(1-M391*(C391/12)/F391)/LN(1+C391/12),0)))),MAX(1,E391-1)))</f>
        <v>0</v>
      </c>
      <c r="O391" s="70">
        <f t="shared" ca="1" si="137"/>
        <v>0</v>
      </c>
      <c r="P391" s="70">
        <f t="shared" ref="P391:P454" ca="1" si="151">U390</f>
        <v>4883296.6262136269</v>
      </c>
      <c r="Q391" s="70">
        <f ca="1">IF(OR(A391&gt;入力設定!$B$6*12,P391+AC391&lt;0.000001),0,IF(P391&lt;0.000001,Q390,IF(AE391=1,IF(C391=0,P391/MAX(1,入力設定!$B$6*12-A391+1),P391*(C391/12)/(1-(1+C391/12)^(-MAX(1,入力設定!$B$6*12-A391+1)))),Q390)))</f>
        <v>150233.43899513123</v>
      </c>
      <c r="R391" s="70">
        <f ca="1">IF(P391+AC391&lt;0.000001,0,IF(A391=入力設定!$B$6*12,P391+AB391+AC391,MIN(Q391,P391+AB391+AC391)))</f>
        <v>150233.43899513123</v>
      </c>
      <c r="S391" s="70">
        <f t="shared" ca="1" si="138"/>
        <v>20347.069275890113</v>
      </c>
      <c r="T391" s="70">
        <f t="shared" ca="1" si="139"/>
        <v>129886.36971924112</v>
      </c>
      <c r="U391" s="70">
        <f t="shared" ca="1" si="140"/>
        <v>4753410.2564943861</v>
      </c>
      <c r="V391" s="70">
        <f t="shared" ca="1" si="141"/>
        <v>0</v>
      </c>
      <c r="W391" s="70">
        <f t="shared" ca="1" si="142"/>
        <v>0</v>
      </c>
      <c r="X391" s="70">
        <f t="shared" ca="1" si="143"/>
        <v>0</v>
      </c>
      <c r="Y391" s="71">
        <f t="shared" ca="1" si="144"/>
        <v>0</v>
      </c>
      <c r="Z391" s="71">
        <f t="shared" ref="Z391:Z454" ca="1" si="152">AA390</f>
        <v>0</v>
      </c>
      <c r="AA391" s="71">
        <f t="shared" ca="1" si="145"/>
        <v>0</v>
      </c>
      <c r="AB391" s="71">
        <f t="shared" ca="1" si="146"/>
        <v>20347.069275890113</v>
      </c>
      <c r="AC391" s="71">
        <f t="shared" ref="AC391:AC454" ca="1" si="153">AD390</f>
        <v>0</v>
      </c>
      <c r="AD391" s="71">
        <f t="shared" ca="1" si="147"/>
        <v>0</v>
      </c>
      <c r="AE391" s="72">
        <f t="shared" si="148"/>
        <v>0</v>
      </c>
      <c r="AF391" s="73">
        <f>IF(A391&gt;入力設定!$B$6*12,0,IF(AND(ISNUMBER(C391),C391&gt;=0,C391&lt;=1),0,1))</f>
        <v>0</v>
      </c>
    </row>
    <row r="392" spans="1:32" ht="21" customHeight="1">
      <c r="A392" s="68">
        <f>387</f>
        <v>387</v>
      </c>
      <c r="B392" s="69">
        <f>EDATE(入力設定!$B$7,A392-1)</f>
        <v>58076</v>
      </c>
      <c r="C392" s="80">
        <f>INDEX(入力設定!$C$15:$C$24,INT((A392-1)/60)+1)</f>
        <v>0.05</v>
      </c>
      <c r="D392" s="70">
        <f t="shared" ca="1" si="149"/>
        <v>0</v>
      </c>
      <c r="E392" s="70">
        <f t="shared" ca="1" si="150"/>
        <v>0</v>
      </c>
      <c r="F392" s="70">
        <f ca="1">IF(D392+Z392&lt;0.000001,0,IF(D392&lt;0.000001,F391,IF(OR(AE392=1,AND(K391&gt;0,入力設定!$B$8="返済額軽減型",入力設定!$B$11="翌月")),IF(C392=0,D392/MAX(1,E392),D392*(C392/12)/(1-(1+C392/12)^(-MAX(1,E392)))),F391)))</f>
        <v>0</v>
      </c>
      <c r="G392" s="70">
        <f t="shared" ca="1" si="132"/>
        <v>0</v>
      </c>
      <c r="H392" s="70">
        <f t="shared" ca="1" si="133"/>
        <v>0</v>
      </c>
      <c r="I392" s="70">
        <f t="shared" ca="1" si="134"/>
        <v>0</v>
      </c>
      <c r="J392" s="70">
        <f>SUMIFS(入力設定!$G$5:$G$24,入力設定!$F$5:$F$24,A392)</f>
        <v>0</v>
      </c>
      <c r="K392" s="70">
        <f t="shared" ca="1" si="135"/>
        <v>0</v>
      </c>
      <c r="L392" s="70">
        <f ca="1">IF(K392&gt;0,入力設定!$B$9,0)</f>
        <v>0</v>
      </c>
      <c r="M392" s="70">
        <f t="shared" ca="1" si="136"/>
        <v>0</v>
      </c>
      <c r="N392" s="70">
        <f ca="1">IF(M392+AA392&lt;0.000001,0,IF(AND(K392&gt;0,入力設定!$B$8="期間短縮型",AA392&lt;0.000001,F392&gt;M392*C392/12),MAX(1,MIN(E392-1,IF(C392=0,ROUNDUP(M392/F392,0),ROUNDUP(-LN(1-M392*(C392/12)/F392)/LN(1+C392/12),0)))),MAX(1,E392-1)))</f>
        <v>0</v>
      </c>
      <c r="O392" s="70">
        <f t="shared" ca="1" si="137"/>
        <v>0</v>
      </c>
      <c r="P392" s="70">
        <f t="shared" ca="1" si="151"/>
        <v>4753410.2564943861</v>
      </c>
      <c r="Q392" s="70">
        <f ca="1">IF(OR(A392&gt;入力設定!$B$6*12,P392+AC392&lt;0.000001),0,IF(P392&lt;0.000001,Q391,IF(AE392=1,IF(C392=0,P392/MAX(1,入力設定!$B$6*12-A392+1),P392*(C392/12)/(1-(1+C392/12)^(-MAX(1,入力設定!$B$6*12-A392+1)))),Q391)))</f>
        <v>150233.43899513123</v>
      </c>
      <c r="R392" s="70">
        <f ca="1">IF(P392+AC392&lt;0.000001,0,IF(A392=入力設定!$B$6*12,P392+AB392+AC392,MIN(Q392,P392+AB392+AC392)))</f>
        <v>150233.43899513123</v>
      </c>
      <c r="S392" s="70">
        <f t="shared" ca="1" si="138"/>
        <v>19805.876068726608</v>
      </c>
      <c r="T392" s="70">
        <f t="shared" ca="1" si="139"/>
        <v>130427.56292640463</v>
      </c>
      <c r="U392" s="70">
        <f t="shared" ca="1" si="140"/>
        <v>4622982.6935679819</v>
      </c>
      <c r="V392" s="70">
        <f t="shared" ca="1" si="141"/>
        <v>0</v>
      </c>
      <c r="W392" s="70">
        <f t="shared" ca="1" si="142"/>
        <v>0</v>
      </c>
      <c r="X392" s="70">
        <f t="shared" ca="1" si="143"/>
        <v>0</v>
      </c>
      <c r="Y392" s="71">
        <f t="shared" ca="1" si="144"/>
        <v>0</v>
      </c>
      <c r="Z392" s="71">
        <f t="shared" ca="1" si="152"/>
        <v>0</v>
      </c>
      <c r="AA392" s="71">
        <f t="shared" ca="1" si="145"/>
        <v>0</v>
      </c>
      <c r="AB392" s="71">
        <f t="shared" ca="1" si="146"/>
        <v>19805.876068726608</v>
      </c>
      <c r="AC392" s="71">
        <f t="shared" ca="1" si="153"/>
        <v>0</v>
      </c>
      <c r="AD392" s="71">
        <f t="shared" ca="1" si="147"/>
        <v>0</v>
      </c>
      <c r="AE392" s="72">
        <f t="shared" si="148"/>
        <v>0</v>
      </c>
      <c r="AF392" s="73">
        <f>IF(A392&gt;入力設定!$B$6*12,0,IF(AND(ISNUMBER(C392),C392&gt;=0,C392&lt;=1),0,1))</f>
        <v>0</v>
      </c>
    </row>
    <row r="393" spans="1:32" ht="21" customHeight="1">
      <c r="A393" s="68">
        <f>388</f>
        <v>388</v>
      </c>
      <c r="B393" s="69">
        <f>EDATE(入力設定!$B$7,A393-1)</f>
        <v>58107</v>
      </c>
      <c r="C393" s="80">
        <f>INDEX(入力設定!$C$15:$C$24,INT((A393-1)/60)+1)</f>
        <v>0.05</v>
      </c>
      <c r="D393" s="70">
        <f t="shared" ca="1" si="149"/>
        <v>0</v>
      </c>
      <c r="E393" s="70">
        <f t="shared" ca="1" si="150"/>
        <v>0</v>
      </c>
      <c r="F393" s="70">
        <f ca="1">IF(D393+Z393&lt;0.000001,0,IF(D393&lt;0.000001,F392,IF(OR(AE393=1,AND(K392&gt;0,入力設定!$B$8="返済額軽減型",入力設定!$B$11="翌月")),IF(C393=0,D393/MAX(1,E393),D393*(C393/12)/(1-(1+C393/12)^(-MAX(1,E393)))),F392)))</f>
        <v>0</v>
      </c>
      <c r="G393" s="70">
        <f t="shared" ca="1" si="132"/>
        <v>0</v>
      </c>
      <c r="H393" s="70">
        <f t="shared" ca="1" si="133"/>
        <v>0</v>
      </c>
      <c r="I393" s="70">
        <f t="shared" ca="1" si="134"/>
        <v>0</v>
      </c>
      <c r="J393" s="70">
        <f>SUMIFS(入力設定!$G$5:$G$24,入力設定!$F$5:$F$24,A393)</f>
        <v>0</v>
      </c>
      <c r="K393" s="70">
        <f t="shared" ca="1" si="135"/>
        <v>0</v>
      </c>
      <c r="L393" s="70">
        <f ca="1">IF(K393&gt;0,入力設定!$B$9,0)</f>
        <v>0</v>
      </c>
      <c r="M393" s="70">
        <f t="shared" ca="1" si="136"/>
        <v>0</v>
      </c>
      <c r="N393" s="70">
        <f ca="1">IF(M393+AA393&lt;0.000001,0,IF(AND(K393&gt;0,入力設定!$B$8="期間短縮型",AA393&lt;0.000001,F393&gt;M393*C393/12),MAX(1,MIN(E393-1,IF(C393=0,ROUNDUP(M393/F393,0),ROUNDUP(-LN(1-M393*(C393/12)/F393)/LN(1+C393/12),0)))),MAX(1,E393-1)))</f>
        <v>0</v>
      </c>
      <c r="O393" s="70">
        <f t="shared" ca="1" si="137"/>
        <v>0</v>
      </c>
      <c r="P393" s="70">
        <f t="shared" ca="1" si="151"/>
        <v>4622982.6935679819</v>
      </c>
      <c r="Q393" s="70">
        <f ca="1">IF(OR(A393&gt;入力設定!$B$6*12,P393+AC393&lt;0.000001),0,IF(P393&lt;0.000001,Q392,IF(AE393=1,IF(C393=0,P393/MAX(1,入力設定!$B$6*12-A393+1),P393*(C393/12)/(1-(1+C393/12)^(-MAX(1,入力設定!$B$6*12-A393+1)))),Q392)))</f>
        <v>150233.43899513123</v>
      </c>
      <c r="R393" s="70">
        <f ca="1">IF(P393+AC393&lt;0.000001,0,IF(A393=入力設定!$B$6*12,P393+AB393+AC393,MIN(Q393,P393+AB393+AC393)))</f>
        <v>150233.43899513123</v>
      </c>
      <c r="S393" s="70">
        <f t="shared" ca="1" si="138"/>
        <v>19262.427889866591</v>
      </c>
      <c r="T393" s="70">
        <f t="shared" ca="1" si="139"/>
        <v>130971.01110526464</v>
      </c>
      <c r="U393" s="70">
        <f t="shared" ca="1" si="140"/>
        <v>4492011.6824627174</v>
      </c>
      <c r="V393" s="70">
        <f t="shared" ca="1" si="141"/>
        <v>0</v>
      </c>
      <c r="W393" s="70">
        <f t="shared" ca="1" si="142"/>
        <v>0</v>
      </c>
      <c r="X393" s="70">
        <f t="shared" ca="1" si="143"/>
        <v>0</v>
      </c>
      <c r="Y393" s="71">
        <f t="shared" ca="1" si="144"/>
        <v>0</v>
      </c>
      <c r="Z393" s="71">
        <f t="shared" ca="1" si="152"/>
        <v>0</v>
      </c>
      <c r="AA393" s="71">
        <f t="shared" ca="1" si="145"/>
        <v>0</v>
      </c>
      <c r="AB393" s="71">
        <f t="shared" ca="1" si="146"/>
        <v>19262.427889866591</v>
      </c>
      <c r="AC393" s="71">
        <f t="shared" ca="1" si="153"/>
        <v>0</v>
      </c>
      <c r="AD393" s="71">
        <f t="shared" ca="1" si="147"/>
        <v>0</v>
      </c>
      <c r="AE393" s="72">
        <f t="shared" si="148"/>
        <v>0</v>
      </c>
      <c r="AF393" s="73">
        <f>IF(A393&gt;入力設定!$B$6*12,0,IF(AND(ISNUMBER(C393),C393&gt;=0,C393&lt;=1),0,1))</f>
        <v>0</v>
      </c>
    </row>
    <row r="394" spans="1:32" ht="21" customHeight="1">
      <c r="A394" s="68">
        <f>389</f>
        <v>389</v>
      </c>
      <c r="B394" s="69">
        <f>EDATE(入力設定!$B$7,A394-1)</f>
        <v>58135</v>
      </c>
      <c r="C394" s="80">
        <f>INDEX(入力設定!$C$15:$C$24,INT((A394-1)/60)+1)</f>
        <v>0.05</v>
      </c>
      <c r="D394" s="70">
        <f t="shared" ca="1" si="149"/>
        <v>0</v>
      </c>
      <c r="E394" s="70">
        <f t="shared" ca="1" si="150"/>
        <v>0</v>
      </c>
      <c r="F394" s="70">
        <f ca="1">IF(D394+Z394&lt;0.000001,0,IF(D394&lt;0.000001,F393,IF(OR(AE394=1,AND(K393&gt;0,入力設定!$B$8="返済額軽減型",入力設定!$B$11="翌月")),IF(C394=0,D394/MAX(1,E394),D394*(C394/12)/(1-(1+C394/12)^(-MAX(1,E394)))),F393)))</f>
        <v>0</v>
      </c>
      <c r="G394" s="70">
        <f t="shared" ca="1" si="132"/>
        <v>0</v>
      </c>
      <c r="H394" s="70">
        <f t="shared" ca="1" si="133"/>
        <v>0</v>
      </c>
      <c r="I394" s="70">
        <f t="shared" ca="1" si="134"/>
        <v>0</v>
      </c>
      <c r="J394" s="70">
        <f>SUMIFS(入力設定!$G$5:$G$24,入力設定!$F$5:$F$24,A394)</f>
        <v>0</v>
      </c>
      <c r="K394" s="70">
        <f t="shared" ca="1" si="135"/>
        <v>0</v>
      </c>
      <c r="L394" s="70">
        <f ca="1">IF(K394&gt;0,入力設定!$B$9,0)</f>
        <v>0</v>
      </c>
      <c r="M394" s="70">
        <f t="shared" ca="1" si="136"/>
        <v>0</v>
      </c>
      <c r="N394" s="70">
        <f ca="1">IF(M394+AA394&lt;0.000001,0,IF(AND(K394&gt;0,入力設定!$B$8="期間短縮型",AA394&lt;0.000001,F394&gt;M394*C394/12),MAX(1,MIN(E394-1,IF(C394=0,ROUNDUP(M394/F394,0),ROUNDUP(-LN(1-M394*(C394/12)/F394)/LN(1+C394/12),0)))),MAX(1,E394-1)))</f>
        <v>0</v>
      </c>
      <c r="O394" s="70">
        <f t="shared" ca="1" si="137"/>
        <v>0</v>
      </c>
      <c r="P394" s="70">
        <f t="shared" ca="1" si="151"/>
        <v>4492011.6824627174</v>
      </c>
      <c r="Q394" s="70">
        <f ca="1">IF(OR(A394&gt;入力設定!$B$6*12,P394+AC394&lt;0.000001),0,IF(P394&lt;0.000001,Q393,IF(AE394=1,IF(C394=0,P394/MAX(1,入力設定!$B$6*12-A394+1),P394*(C394/12)/(1-(1+C394/12)^(-MAX(1,入力設定!$B$6*12-A394+1)))),Q393)))</f>
        <v>150233.43899513123</v>
      </c>
      <c r="R394" s="70">
        <f ca="1">IF(P394+AC394&lt;0.000001,0,IF(A394=入力設定!$B$6*12,P394+AB394+AC394,MIN(Q394,P394+AB394+AC394)))</f>
        <v>150233.43899513123</v>
      </c>
      <c r="S394" s="70">
        <f t="shared" ca="1" si="138"/>
        <v>18716.715343594657</v>
      </c>
      <c r="T394" s="70">
        <f t="shared" ca="1" si="139"/>
        <v>131516.72365153657</v>
      </c>
      <c r="U394" s="70">
        <f t="shared" ca="1" si="140"/>
        <v>4360494.9588111807</v>
      </c>
      <c r="V394" s="70">
        <f t="shared" ca="1" si="141"/>
        <v>0</v>
      </c>
      <c r="W394" s="70">
        <f t="shared" ca="1" si="142"/>
        <v>0</v>
      </c>
      <c r="X394" s="70">
        <f t="shared" ca="1" si="143"/>
        <v>0</v>
      </c>
      <c r="Y394" s="71">
        <f t="shared" ca="1" si="144"/>
        <v>0</v>
      </c>
      <c r="Z394" s="71">
        <f t="shared" ca="1" si="152"/>
        <v>0</v>
      </c>
      <c r="AA394" s="71">
        <f t="shared" ca="1" si="145"/>
        <v>0</v>
      </c>
      <c r="AB394" s="71">
        <f t="shared" ca="1" si="146"/>
        <v>18716.715343594657</v>
      </c>
      <c r="AC394" s="71">
        <f t="shared" ca="1" si="153"/>
        <v>0</v>
      </c>
      <c r="AD394" s="71">
        <f t="shared" ca="1" si="147"/>
        <v>0</v>
      </c>
      <c r="AE394" s="72">
        <f t="shared" si="148"/>
        <v>0</v>
      </c>
      <c r="AF394" s="73">
        <f>IF(A394&gt;入力設定!$B$6*12,0,IF(AND(ISNUMBER(C394),C394&gt;=0,C394&lt;=1),0,1))</f>
        <v>0</v>
      </c>
    </row>
    <row r="395" spans="1:32" ht="21" customHeight="1">
      <c r="A395" s="68">
        <f>390</f>
        <v>390</v>
      </c>
      <c r="B395" s="69">
        <f>EDATE(入力設定!$B$7,A395-1)</f>
        <v>58166</v>
      </c>
      <c r="C395" s="80">
        <f>INDEX(入力設定!$C$15:$C$24,INT((A395-1)/60)+1)</f>
        <v>0.05</v>
      </c>
      <c r="D395" s="70">
        <f t="shared" ca="1" si="149"/>
        <v>0</v>
      </c>
      <c r="E395" s="70">
        <f t="shared" ca="1" si="150"/>
        <v>0</v>
      </c>
      <c r="F395" s="70">
        <f ca="1">IF(D395+Z395&lt;0.000001,0,IF(D395&lt;0.000001,F394,IF(OR(AE395=1,AND(K394&gt;0,入力設定!$B$8="返済額軽減型",入力設定!$B$11="翌月")),IF(C395=0,D395/MAX(1,E395),D395*(C395/12)/(1-(1+C395/12)^(-MAX(1,E395)))),F394)))</f>
        <v>0</v>
      </c>
      <c r="G395" s="70">
        <f t="shared" ca="1" si="132"/>
        <v>0</v>
      </c>
      <c r="H395" s="70">
        <f t="shared" ca="1" si="133"/>
        <v>0</v>
      </c>
      <c r="I395" s="70">
        <f t="shared" ca="1" si="134"/>
        <v>0</v>
      </c>
      <c r="J395" s="70">
        <f>SUMIFS(入力設定!$G$5:$G$24,入力設定!$F$5:$F$24,A395)</f>
        <v>0</v>
      </c>
      <c r="K395" s="70">
        <f t="shared" ca="1" si="135"/>
        <v>0</v>
      </c>
      <c r="L395" s="70">
        <f ca="1">IF(K395&gt;0,入力設定!$B$9,0)</f>
        <v>0</v>
      </c>
      <c r="M395" s="70">
        <f t="shared" ca="1" si="136"/>
        <v>0</v>
      </c>
      <c r="N395" s="70">
        <f ca="1">IF(M395+AA395&lt;0.000001,0,IF(AND(K395&gt;0,入力設定!$B$8="期間短縮型",AA395&lt;0.000001,F395&gt;M395*C395/12),MAX(1,MIN(E395-1,IF(C395=0,ROUNDUP(M395/F395,0),ROUNDUP(-LN(1-M395*(C395/12)/F395)/LN(1+C395/12),0)))),MAX(1,E395-1)))</f>
        <v>0</v>
      </c>
      <c r="O395" s="70">
        <f t="shared" ca="1" si="137"/>
        <v>0</v>
      </c>
      <c r="P395" s="70">
        <f t="shared" ca="1" si="151"/>
        <v>4360494.9588111807</v>
      </c>
      <c r="Q395" s="70">
        <f ca="1">IF(OR(A395&gt;入力設定!$B$6*12,P395+AC395&lt;0.000001),0,IF(P395&lt;0.000001,Q394,IF(AE395=1,IF(C395=0,P395/MAX(1,入力設定!$B$6*12-A395+1),P395*(C395/12)/(1-(1+C395/12)^(-MAX(1,入力設定!$B$6*12-A395+1)))),Q394)))</f>
        <v>150233.43899513123</v>
      </c>
      <c r="R395" s="70">
        <f ca="1">IF(P395+AC395&lt;0.000001,0,IF(A395=入力設定!$B$6*12,P395+AB395+AC395,MIN(Q395,P395+AB395+AC395)))</f>
        <v>150233.43899513123</v>
      </c>
      <c r="S395" s="70">
        <f t="shared" ca="1" si="138"/>
        <v>18168.728995046589</v>
      </c>
      <c r="T395" s="70">
        <f t="shared" ca="1" si="139"/>
        <v>132064.71000008465</v>
      </c>
      <c r="U395" s="70">
        <f t="shared" ca="1" si="140"/>
        <v>4228430.248811096</v>
      </c>
      <c r="V395" s="70">
        <f t="shared" ca="1" si="141"/>
        <v>0</v>
      </c>
      <c r="W395" s="70">
        <f t="shared" ca="1" si="142"/>
        <v>0</v>
      </c>
      <c r="X395" s="70">
        <f t="shared" ca="1" si="143"/>
        <v>0</v>
      </c>
      <c r="Y395" s="71">
        <f t="shared" ca="1" si="144"/>
        <v>0</v>
      </c>
      <c r="Z395" s="71">
        <f t="shared" ca="1" si="152"/>
        <v>0</v>
      </c>
      <c r="AA395" s="71">
        <f t="shared" ca="1" si="145"/>
        <v>0</v>
      </c>
      <c r="AB395" s="71">
        <f t="shared" ca="1" si="146"/>
        <v>18168.728995046589</v>
      </c>
      <c r="AC395" s="71">
        <f t="shared" ca="1" si="153"/>
        <v>0</v>
      </c>
      <c r="AD395" s="71">
        <f t="shared" ca="1" si="147"/>
        <v>0</v>
      </c>
      <c r="AE395" s="72">
        <f t="shared" si="148"/>
        <v>0</v>
      </c>
      <c r="AF395" s="73">
        <f>IF(A395&gt;入力設定!$B$6*12,0,IF(AND(ISNUMBER(C395),C395&gt;=0,C395&lt;=1),0,1))</f>
        <v>0</v>
      </c>
    </row>
    <row r="396" spans="1:32" ht="21" customHeight="1">
      <c r="A396" s="68">
        <f>391</f>
        <v>391</v>
      </c>
      <c r="B396" s="69">
        <f>EDATE(入力設定!$B$7,A396-1)</f>
        <v>58196</v>
      </c>
      <c r="C396" s="80">
        <f>INDEX(入力設定!$C$15:$C$24,INT((A396-1)/60)+1)</f>
        <v>0.05</v>
      </c>
      <c r="D396" s="70">
        <f t="shared" ca="1" si="149"/>
        <v>0</v>
      </c>
      <c r="E396" s="70">
        <f t="shared" ca="1" si="150"/>
        <v>0</v>
      </c>
      <c r="F396" s="70">
        <f ca="1">IF(D396+Z396&lt;0.000001,0,IF(D396&lt;0.000001,F395,IF(OR(AE396=1,AND(K395&gt;0,入力設定!$B$8="返済額軽減型",入力設定!$B$11="翌月")),IF(C396=0,D396/MAX(1,E396),D396*(C396/12)/(1-(1+C396/12)^(-MAX(1,E396)))),F395)))</f>
        <v>0</v>
      </c>
      <c r="G396" s="70">
        <f t="shared" ca="1" si="132"/>
        <v>0</v>
      </c>
      <c r="H396" s="70">
        <f t="shared" ca="1" si="133"/>
        <v>0</v>
      </c>
      <c r="I396" s="70">
        <f t="shared" ca="1" si="134"/>
        <v>0</v>
      </c>
      <c r="J396" s="70">
        <f>SUMIFS(入力設定!$G$5:$G$24,入力設定!$F$5:$F$24,A396)</f>
        <v>0</v>
      </c>
      <c r="K396" s="70">
        <f t="shared" ca="1" si="135"/>
        <v>0</v>
      </c>
      <c r="L396" s="70">
        <f ca="1">IF(K396&gt;0,入力設定!$B$9,0)</f>
        <v>0</v>
      </c>
      <c r="M396" s="70">
        <f t="shared" ca="1" si="136"/>
        <v>0</v>
      </c>
      <c r="N396" s="70">
        <f ca="1">IF(M396+AA396&lt;0.000001,0,IF(AND(K396&gt;0,入力設定!$B$8="期間短縮型",AA396&lt;0.000001,F396&gt;M396*C396/12),MAX(1,MIN(E396-1,IF(C396=0,ROUNDUP(M396/F396,0),ROUNDUP(-LN(1-M396*(C396/12)/F396)/LN(1+C396/12),0)))),MAX(1,E396-1)))</f>
        <v>0</v>
      </c>
      <c r="O396" s="70">
        <f t="shared" ca="1" si="137"/>
        <v>0</v>
      </c>
      <c r="P396" s="70">
        <f t="shared" ca="1" si="151"/>
        <v>4228430.248811096</v>
      </c>
      <c r="Q396" s="70">
        <f ca="1">IF(OR(A396&gt;入力設定!$B$6*12,P396+AC396&lt;0.000001),0,IF(P396&lt;0.000001,Q395,IF(AE396=1,IF(C396=0,P396/MAX(1,入力設定!$B$6*12-A396+1),P396*(C396/12)/(1-(1+C396/12)^(-MAX(1,入力設定!$B$6*12-A396+1)))),Q395)))</f>
        <v>150233.43899513123</v>
      </c>
      <c r="R396" s="70">
        <f ca="1">IF(P396+AC396&lt;0.000001,0,IF(A396=入力設定!$B$6*12,P396+AB396+AC396,MIN(Q396,P396+AB396+AC396)))</f>
        <v>150233.43899513123</v>
      </c>
      <c r="S396" s="70">
        <f t="shared" ca="1" si="138"/>
        <v>17618.459370046232</v>
      </c>
      <c r="T396" s="70">
        <f t="shared" ca="1" si="139"/>
        <v>132614.97962508499</v>
      </c>
      <c r="U396" s="70">
        <f t="shared" ca="1" si="140"/>
        <v>4095815.269186011</v>
      </c>
      <c r="V396" s="70">
        <f t="shared" ca="1" si="141"/>
        <v>0</v>
      </c>
      <c r="W396" s="70">
        <f t="shared" ca="1" si="142"/>
        <v>0</v>
      </c>
      <c r="X396" s="70">
        <f t="shared" ca="1" si="143"/>
        <v>0</v>
      </c>
      <c r="Y396" s="71">
        <f t="shared" ca="1" si="144"/>
        <v>0</v>
      </c>
      <c r="Z396" s="71">
        <f t="shared" ca="1" si="152"/>
        <v>0</v>
      </c>
      <c r="AA396" s="71">
        <f t="shared" ca="1" si="145"/>
        <v>0</v>
      </c>
      <c r="AB396" s="71">
        <f t="shared" ca="1" si="146"/>
        <v>17618.459370046232</v>
      </c>
      <c r="AC396" s="71">
        <f t="shared" ca="1" si="153"/>
        <v>0</v>
      </c>
      <c r="AD396" s="71">
        <f t="shared" ca="1" si="147"/>
        <v>0</v>
      </c>
      <c r="AE396" s="72">
        <f t="shared" si="148"/>
        <v>0</v>
      </c>
      <c r="AF396" s="73">
        <f>IF(A396&gt;入力設定!$B$6*12,0,IF(AND(ISNUMBER(C396),C396&gt;=0,C396&lt;=1),0,1))</f>
        <v>0</v>
      </c>
    </row>
    <row r="397" spans="1:32" ht="21" customHeight="1">
      <c r="A397" s="68">
        <f>392</f>
        <v>392</v>
      </c>
      <c r="B397" s="69">
        <f>EDATE(入力設定!$B$7,A397-1)</f>
        <v>58227</v>
      </c>
      <c r="C397" s="80">
        <f>INDEX(入力設定!$C$15:$C$24,INT((A397-1)/60)+1)</f>
        <v>0.05</v>
      </c>
      <c r="D397" s="70">
        <f t="shared" ca="1" si="149"/>
        <v>0</v>
      </c>
      <c r="E397" s="70">
        <f t="shared" ca="1" si="150"/>
        <v>0</v>
      </c>
      <c r="F397" s="70">
        <f ca="1">IF(D397+Z397&lt;0.000001,0,IF(D397&lt;0.000001,F396,IF(OR(AE397=1,AND(K396&gt;0,入力設定!$B$8="返済額軽減型",入力設定!$B$11="翌月")),IF(C397=0,D397/MAX(1,E397),D397*(C397/12)/(1-(1+C397/12)^(-MAX(1,E397)))),F396)))</f>
        <v>0</v>
      </c>
      <c r="G397" s="70">
        <f t="shared" ca="1" si="132"/>
        <v>0</v>
      </c>
      <c r="H397" s="70">
        <f t="shared" ca="1" si="133"/>
        <v>0</v>
      </c>
      <c r="I397" s="70">
        <f t="shared" ca="1" si="134"/>
        <v>0</v>
      </c>
      <c r="J397" s="70">
        <f>SUMIFS(入力設定!$G$5:$G$24,入力設定!$F$5:$F$24,A397)</f>
        <v>0</v>
      </c>
      <c r="K397" s="70">
        <f t="shared" ca="1" si="135"/>
        <v>0</v>
      </c>
      <c r="L397" s="70">
        <f ca="1">IF(K397&gt;0,入力設定!$B$9,0)</f>
        <v>0</v>
      </c>
      <c r="M397" s="70">
        <f t="shared" ca="1" si="136"/>
        <v>0</v>
      </c>
      <c r="N397" s="70">
        <f ca="1">IF(M397+AA397&lt;0.000001,0,IF(AND(K397&gt;0,入力設定!$B$8="期間短縮型",AA397&lt;0.000001,F397&gt;M397*C397/12),MAX(1,MIN(E397-1,IF(C397=0,ROUNDUP(M397/F397,0),ROUNDUP(-LN(1-M397*(C397/12)/F397)/LN(1+C397/12),0)))),MAX(1,E397-1)))</f>
        <v>0</v>
      </c>
      <c r="O397" s="70">
        <f t="shared" ca="1" si="137"/>
        <v>0</v>
      </c>
      <c r="P397" s="70">
        <f t="shared" ca="1" si="151"/>
        <v>4095815.269186011</v>
      </c>
      <c r="Q397" s="70">
        <f ca="1">IF(OR(A397&gt;入力設定!$B$6*12,P397+AC397&lt;0.000001),0,IF(P397&lt;0.000001,Q396,IF(AE397=1,IF(C397=0,P397/MAX(1,入力設定!$B$6*12-A397+1),P397*(C397/12)/(1-(1+C397/12)^(-MAX(1,入力設定!$B$6*12-A397+1)))),Q396)))</f>
        <v>150233.43899513123</v>
      </c>
      <c r="R397" s="70">
        <f ca="1">IF(P397+AC397&lt;0.000001,0,IF(A397=入力設定!$B$6*12,P397+AB397+AC397,MIN(Q397,P397+AB397+AC397)))</f>
        <v>150233.43899513123</v>
      </c>
      <c r="S397" s="70">
        <f t="shared" ca="1" si="138"/>
        <v>17065.896954941712</v>
      </c>
      <c r="T397" s="70">
        <f t="shared" ca="1" si="139"/>
        <v>133167.54204018952</v>
      </c>
      <c r="U397" s="70">
        <f t="shared" ca="1" si="140"/>
        <v>3962647.7271458213</v>
      </c>
      <c r="V397" s="70">
        <f t="shared" ca="1" si="141"/>
        <v>0</v>
      </c>
      <c r="W397" s="70">
        <f t="shared" ca="1" si="142"/>
        <v>0</v>
      </c>
      <c r="X397" s="70">
        <f t="shared" ca="1" si="143"/>
        <v>0</v>
      </c>
      <c r="Y397" s="71">
        <f t="shared" ca="1" si="144"/>
        <v>0</v>
      </c>
      <c r="Z397" s="71">
        <f t="shared" ca="1" si="152"/>
        <v>0</v>
      </c>
      <c r="AA397" s="71">
        <f t="shared" ca="1" si="145"/>
        <v>0</v>
      </c>
      <c r="AB397" s="71">
        <f t="shared" ca="1" si="146"/>
        <v>17065.896954941712</v>
      </c>
      <c r="AC397" s="71">
        <f t="shared" ca="1" si="153"/>
        <v>0</v>
      </c>
      <c r="AD397" s="71">
        <f t="shared" ca="1" si="147"/>
        <v>0</v>
      </c>
      <c r="AE397" s="72">
        <f t="shared" si="148"/>
        <v>0</v>
      </c>
      <c r="AF397" s="73">
        <f>IF(A397&gt;入力設定!$B$6*12,0,IF(AND(ISNUMBER(C397),C397&gt;=0,C397&lt;=1),0,1))</f>
        <v>0</v>
      </c>
    </row>
    <row r="398" spans="1:32" ht="21" customHeight="1">
      <c r="A398" s="68">
        <f>393</f>
        <v>393</v>
      </c>
      <c r="B398" s="69">
        <f>EDATE(入力設定!$B$7,A398-1)</f>
        <v>58257</v>
      </c>
      <c r="C398" s="80">
        <f>INDEX(入力設定!$C$15:$C$24,INT((A398-1)/60)+1)</f>
        <v>0.05</v>
      </c>
      <c r="D398" s="70">
        <f t="shared" ca="1" si="149"/>
        <v>0</v>
      </c>
      <c r="E398" s="70">
        <f t="shared" ca="1" si="150"/>
        <v>0</v>
      </c>
      <c r="F398" s="70">
        <f ca="1">IF(D398+Z398&lt;0.000001,0,IF(D398&lt;0.000001,F397,IF(OR(AE398=1,AND(K397&gt;0,入力設定!$B$8="返済額軽減型",入力設定!$B$11="翌月")),IF(C398=0,D398/MAX(1,E398),D398*(C398/12)/(1-(1+C398/12)^(-MAX(1,E398)))),F397)))</f>
        <v>0</v>
      </c>
      <c r="G398" s="70">
        <f t="shared" ca="1" si="132"/>
        <v>0</v>
      </c>
      <c r="H398" s="70">
        <f t="shared" ca="1" si="133"/>
        <v>0</v>
      </c>
      <c r="I398" s="70">
        <f t="shared" ca="1" si="134"/>
        <v>0</v>
      </c>
      <c r="J398" s="70">
        <f>SUMIFS(入力設定!$G$5:$G$24,入力設定!$F$5:$F$24,A398)</f>
        <v>0</v>
      </c>
      <c r="K398" s="70">
        <f t="shared" ca="1" si="135"/>
        <v>0</v>
      </c>
      <c r="L398" s="70">
        <f ca="1">IF(K398&gt;0,入力設定!$B$9,0)</f>
        <v>0</v>
      </c>
      <c r="M398" s="70">
        <f t="shared" ca="1" si="136"/>
        <v>0</v>
      </c>
      <c r="N398" s="70">
        <f ca="1">IF(M398+AA398&lt;0.000001,0,IF(AND(K398&gt;0,入力設定!$B$8="期間短縮型",AA398&lt;0.000001,F398&gt;M398*C398/12),MAX(1,MIN(E398-1,IF(C398=0,ROUNDUP(M398/F398,0),ROUNDUP(-LN(1-M398*(C398/12)/F398)/LN(1+C398/12),0)))),MAX(1,E398-1)))</f>
        <v>0</v>
      </c>
      <c r="O398" s="70">
        <f t="shared" ca="1" si="137"/>
        <v>0</v>
      </c>
      <c r="P398" s="70">
        <f t="shared" ca="1" si="151"/>
        <v>3962647.7271458213</v>
      </c>
      <c r="Q398" s="70">
        <f ca="1">IF(OR(A398&gt;入力設定!$B$6*12,P398+AC398&lt;0.000001),0,IF(P398&lt;0.000001,Q397,IF(AE398=1,IF(C398=0,P398/MAX(1,入力設定!$B$6*12-A398+1),P398*(C398/12)/(1-(1+C398/12)^(-MAX(1,入力設定!$B$6*12-A398+1)))),Q397)))</f>
        <v>150233.43899513123</v>
      </c>
      <c r="R398" s="70">
        <f ca="1">IF(P398+AC398&lt;0.000001,0,IF(A398=入力設定!$B$6*12,P398+AB398+AC398,MIN(Q398,P398+AB398+AC398)))</f>
        <v>150233.43899513123</v>
      </c>
      <c r="S398" s="70">
        <f t="shared" ca="1" si="138"/>
        <v>16511.032196440923</v>
      </c>
      <c r="T398" s="70">
        <f t="shared" ca="1" si="139"/>
        <v>133722.40679869032</v>
      </c>
      <c r="U398" s="70">
        <f t="shared" ca="1" si="140"/>
        <v>3828925.3203471312</v>
      </c>
      <c r="V398" s="70">
        <f t="shared" ca="1" si="141"/>
        <v>0</v>
      </c>
      <c r="W398" s="70">
        <f t="shared" ca="1" si="142"/>
        <v>0</v>
      </c>
      <c r="X398" s="70">
        <f t="shared" ca="1" si="143"/>
        <v>0</v>
      </c>
      <c r="Y398" s="71">
        <f t="shared" ca="1" si="144"/>
        <v>0</v>
      </c>
      <c r="Z398" s="71">
        <f t="shared" ca="1" si="152"/>
        <v>0</v>
      </c>
      <c r="AA398" s="71">
        <f t="shared" ca="1" si="145"/>
        <v>0</v>
      </c>
      <c r="AB398" s="71">
        <f t="shared" ca="1" si="146"/>
        <v>16511.032196440923</v>
      </c>
      <c r="AC398" s="71">
        <f t="shared" ca="1" si="153"/>
        <v>0</v>
      </c>
      <c r="AD398" s="71">
        <f t="shared" ca="1" si="147"/>
        <v>0</v>
      </c>
      <c r="AE398" s="72">
        <f t="shared" si="148"/>
        <v>0</v>
      </c>
      <c r="AF398" s="73">
        <f>IF(A398&gt;入力設定!$B$6*12,0,IF(AND(ISNUMBER(C398),C398&gt;=0,C398&lt;=1),0,1))</f>
        <v>0</v>
      </c>
    </row>
    <row r="399" spans="1:32" ht="21" customHeight="1">
      <c r="A399" s="68">
        <f>394</f>
        <v>394</v>
      </c>
      <c r="B399" s="69">
        <f>EDATE(入力設定!$B$7,A399-1)</f>
        <v>58288</v>
      </c>
      <c r="C399" s="80">
        <f>INDEX(入力設定!$C$15:$C$24,INT((A399-1)/60)+1)</f>
        <v>0.05</v>
      </c>
      <c r="D399" s="70">
        <f t="shared" ca="1" si="149"/>
        <v>0</v>
      </c>
      <c r="E399" s="70">
        <f t="shared" ca="1" si="150"/>
        <v>0</v>
      </c>
      <c r="F399" s="70">
        <f ca="1">IF(D399+Z399&lt;0.000001,0,IF(D399&lt;0.000001,F398,IF(OR(AE399=1,AND(K398&gt;0,入力設定!$B$8="返済額軽減型",入力設定!$B$11="翌月")),IF(C399=0,D399/MAX(1,E399),D399*(C399/12)/(1-(1+C399/12)^(-MAX(1,E399)))),F398)))</f>
        <v>0</v>
      </c>
      <c r="G399" s="70">
        <f t="shared" ca="1" si="132"/>
        <v>0</v>
      </c>
      <c r="H399" s="70">
        <f t="shared" ca="1" si="133"/>
        <v>0</v>
      </c>
      <c r="I399" s="70">
        <f t="shared" ca="1" si="134"/>
        <v>0</v>
      </c>
      <c r="J399" s="70">
        <f>SUMIFS(入力設定!$G$5:$G$24,入力設定!$F$5:$F$24,A399)</f>
        <v>0</v>
      </c>
      <c r="K399" s="70">
        <f t="shared" ca="1" si="135"/>
        <v>0</v>
      </c>
      <c r="L399" s="70">
        <f ca="1">IF(K399&gt;0,入力設定!$B$9,0)</f>
        <v>0</v>
      </c>
      <c r="M399" s="70">
        <f t="shared" ca="1" si="136"/>
        <v>0</v>
      </c>
      <c r="N399" s="70">
        <f ca="1">IF(M399+AA399&lt;0.000001,0,IF(AND(K399&gt;0,入力設定!$B$8="期間短縮型",AA399&lt;0.000001,F399&gt;M399*C399/12),MAX(1,MIN(E399-1,IF(C399=0,ROUNDUP(M399/F399,0),ROUNDUP(-LN(1-M399*(C399/12)/F399)/LN(1+C399/12),0)))),MAX(1,E399-1)))</f>
        <v>0</v>
      </c>
      <c r="O399" s="70">
        <f t="shared" ca="1" si="137"/>
        <v>0</v>
      </c>
      <c r="P399" s="70">
        <f t="shared" ca="1" si="151"/>
        <v>3828925.3203471312</v>
      </c>
      <c r="Q399" s="70">
        <f ca="1">IF(OR(A399&gt;入力設定!$B$6*12,P399+AC399&lt;0.000001),0,IF(P399&lt;0.000001,Q398,IF(AE399=1,IF(C399=0,P399/MAX(1,入力設定!$B$6*12-A399+1),P399*(C399/12)/(1-(1+C399/12)^(-MAX(1,入力設定!$B$6*12-A399+1)))),Q398)))</f>
        <v>150233.43899513123</v>
      </c>
      <c r="R399" s="70">
        <f ca="1">IF(P399+AC399&lt;0.000001,0,IF(A399=入力設定!$B$6*12,P399+AB399+AC399,MIN(Q399,P399+AB399+AC399)))</f>
        <v>150233.43899513123</v>
      </c>
      <c r="S399" s="70">
        <f t="shared" ca="1" si="138"/>
        <v>15953.85550144638</v>
      </c>
      <c r="T399" s="70">
        <f t="shared" ca="1" si="139"/>
        <v>134279.58349368486</v>
      </c>
      <c r="U399" s="70">
        <f t="shared" ca="1" si="140"/>
        <v>3694645.7368534463</v>
      </c>
      <c r="V399" s="70">
        <f t="shared" ca="1" si="141"/>
        <v>0</v>
      </c>
      <c r="W399" s="70">
        <f t="shared" ca="1" si="142"/>
        <v>0</v>
      </c>
      <c r="X399" s="70">
        <f t="shared" ca="1" si="143"/>
        <v>0</v>
      </c>
      <c r="Y399" s="71">
        <f t="shared" ca="1" si="144"/>
        <v>0</v>
      </c>
      <c r="Z399" s="71">
        <f t="shared" ca="1" si="152"/>
        <v>0</v>
      </c>
      <c r="AA399" s="71">
        <f t="shared" ca="1" si="145"/>
        <v>0</v>
      </c>
      <c r="AB399" s="71">
        <f t="shared" ca="1" si="146"/>
        <v>15953.85550144638</v>
      </c>
      <c r="AC399" s="71">
        <f t="shared" ca="1" si="153"/>
        <v>0</v>
      </c>
      <c r="AD399" s="71">
        <f t="shared" ca="1" si="147"/>
        <v>0</v>
      </c>
      <c r="AE399" s="72">
        <f t="shared" si="148"/>
        <v>0</v>
      </c>
      <c r="AF399" s="73">
        <f>IF(A399&gt;入力設定!$B$6*12,0,IF(AND(ISNUMBER(C399),C399&gt;=0,C399&lt;=1),0,1))</f>
        <v>0</v>
      </c>
    </row>
    <row r="400" spans="1:32" ht="21" customHeight="1">
      <c r="A400" s="68">
        <f>395</f>
        <v>395</v>
      </c>
      <c r="B400" s="69">
        <f>EDATE(入力設定!$B$7,A400-1)</f>
        <v>58319</v>
      </c>
      <c r="C400" s="80">
        <f>INDEX(入力設定!$C$15:$C$24,INT((A400-1)/60)+1)</f>
        <v>0.05</v>
      </c>
      <c r="D400" s="70">
        <f t="shared" ca="1" si="149"/>
        <v>0</v>
      </c>
      <c r="E400" s="70">
        <f t="shared" ca="1" si="150"/>
        <v>0</v>
      </c>
      <c r="F400" s="70">
        <f ca="1">IF(D400+Z400&lt;0.000001,0,IF(D400&lt;0.000001,F399,IF(OR(AE400=1,AND(K399&gt;0,入力設定!$B$8="返済額軽減型",入力設定!$B$11="翌月")),IF(C400=0,D400/MAX(1,E400),D400*(C400/12)/(1-(1+C400/12)^(-MAX(1,E400)))),F399)))</f>
        <v>0</v>
      </c>
      <c r="G400" s="70">
        <f t="shared" ca="1" si="132"/>
        <v>0</v>
      </c>
      <c r="H400" s="70">
        <f t="shared" ca="1" si="133"/>
        <v>0</v>
      </c>
      <c r="I400" s="70">
        <f t="shared" ca="1" si="134"/>
        <v>0</v>
      </c>
      <c r="J400" s="70">
        <f>SUMIFS(入力設定!$G$5:$G$24,入力設定!$F$5:$F$24,A400)</f>
        <v>0</v>
      </c>
      <c r="K400" s="70">
        <f t="shared" ca="1" si="135"/>
        <v>0</v>
      </c>
      <c r="L400" s="70">
        <f ca="1">IF(K400&gt;0,入力設定!$B$9,0)</f>
        <v>0</v>
      </c>
      <c r="M400" s="70">
        <f t="shared" ca="1" si="136"/>
        <v>0</v>
      </c>
      <c r="N400" s="70">
        <f ca="1">IF(M400+AA400&lt;0.000001,0,IF(AND(K400&gt;0,入力設定!$B$8="期間短縮型",AA400&lt;0.000001,F400&gt;M400*C400/12),MAX(1,MIN(E400-1,IF(C400=0,ROUNDUP(M400/F400,0),ROUNDUP(-LN(1-M400*(C400/12)/F400)/LN(1+C400/12),0)))),MAX(1,E400-1)))</f>
        <v>0</v>
      </c>
      <c r="O400" s="70">
        <f t="shared" ca="1" si="137"/>
        <v>0</v>
      </c>
      <c r="P400" s="70">
        <f t="shared" ca="1" si="151"/>
        <v>3694645.7368534463</v>
      </c>
      <c r="Q400" s="70">
        <f ca="1">IF(OR(A400&gt;入力設定!$B$6*12,P400+AC400&lt;0.000001),0,IF(P400&lt;0.000001,Q399,IF(AE400=1,IF(C400=0,P400/MAX(1,入力設定!$B$6*12-A400+1),P400*(C400/12)/(1-(1+C400/12)^(-MAX(1,入力設定!$B$6*12-A400+1)))),Q399)))</f>
        <v>150233.43899513123</v>
      </c>
      <c r="R400" s="70">
        <f ca="1">IF(P400+AC400&lt;0.000001,0,IF(A400=入力設定!$B$6*12,P400+AB400+AC400,MIN(Q400,P400+AB400+AC400)))</f>
        <v>150233.43899513123</v>
      </c>
      <c r="S400" s="70">
        <f t="shared" ca="1" si="138"/>
        <v>15394.35723688936</v>
      </c>
      <c r="T400" s="70">
        <f t="shared" ca="1" si="139"/>
        <v>134839.08175824187</v>
      </c>
      <c r="U400" s="70">
        <f t="shared" ca="1" si="140"/>
        <v>3559806.6550952047</v>
      </c>
      <c r="V400" s="70">
        <f t="shared" ca="1" si="141"/>
        <v>0</v>
      </c>
      <c r="W400" s="70">
        <f t="shared" ca="1" si="142"/>
        <v>0</v>
      </c>
      <c r="X400" s="70">
        <f t="shared" ca="1" si="143"/>
        <v>0</v>
      </c>
      <c r="Y400" s="71">
        <f t="shared" ca="1" si="144"/>
        <v>0</v>
      </c>
      <c r="Z400" s="71">
        <f t="shared" ca="1" si="152"/>
        <v>0</v>
      </c>
      <c r="AA400" s="71">
        <f t="shared" ca="1" si="145"/>
        <v>0</v>
      </c>
      <c r="AB400" s="71">
        <f t="shared" ca="1" si="146"/>
        <v>15394.35723688936</v>
      </c>
      <c r="AC400" s="71">
        <f t="shared" ca="1" si="153"/>
        <v>0</v>
      </c>
      <c r="AD400" s="71">
        <f t="shared" ca="1" si="147"/>
        <v>0</v>
      </c>
      <c r="AE400" s="72">
        <f t="shared" si="148"/>
        <v>0</v>
      </c>
      <c r="AF400" s="73">
        <f>IF(A400&gt;入力設定!$B$6*12,0,IF(AND(ISNUMBER(C400),C400&gt;=0,C400&lt;=1),0,1))</f>
        <v>0</v>
      </c>
    </row>
    <row r="401" spans="1:32" ht="21" customHeight="1">
      <c r="A401" s="68">
        <f>396</f>
        <v>396</v>
      </c>
      <c r="B401" s="69">
        <f>EDATE(入力設定!$B$7,A401-1)</f>
        <v>58349</v>
      </c>
      <c r="C401" s="80">
        <f>INDEX(入力設定!$C$15:$C$24,INT((A401-1)/60)+1)</f>
        <v>0.05</v>
      </c>
      <c r="D401" s="70">
        <f t="shared" ca="1" si="149"/>
        <v>0</v>
      </c>
      <c r="E401" s="70">
        <f t="shared" ca="1" si="150"/>
        <v>0</v>
      </c>
      <c r="F401" s="70">
        <f ca="1">IF(D401+Z401&lt;0.000001,0,IF(D401&lt;0.000001,F400,IF(OR(AE401=1,AND(K400&gt;0,入力設定!$B$8="返済額軽減型",入力設定!$B$11="翌月")),IF(C401=0,D401/MAX(1,E401),D401*(C401/12)/(1-(1+C401/12)^(-MAX(1,E401)))),F400)))</f>
        <v>0</v>
      </c>
      <c r="G401" s="70">
        <f t="shared" ca="1" si="132"/>
        <v>0</v>
      </c>
      <c r="H401" s="70">
        <f t="shared" ca="1" si="133"/>
        <v>0</v>
      </c>
      <c r="I401" s="70">
        <f t="shared" ca="1" si="134"/>
        <v>0</v>
      </c>
      <c r="J401" s="70">
        <f>SUMIFS(入力設定!$G$5:$G$24,入力設定!$F$5:$F$24,A401)</f>
        <v>0</v>
      </c>
      <c r="K401" s="70">
        <f t="shared" ca="1" si="135"/>
        <v>0</v>
      </c>
      <c r="L401" s="70">
        <f ca="1">IF(K401&gt;0,入力設定!$B$9,0)</f>
        <v>0</v>
      </c>
      <c r="M401" s="70">
        <f t="shared" ca="1" si="136"/>
        <v>0</v>
      </c>
      <c r="N401" s="70">
        <f ca="1">IF(M401+AA401&lt;0.000001,0,IF(AND(K401&gt;0,入力設定!$B$8="期間短縮型",AA401&lt;0.000001,F401&gt;M401*C401/12),MAX(1,MIN(E401-1,IF(C401=0,ROUNDUP(M401/F401,0),ROUNDUP(-LN(1-M401*(C401/12)/F401)/LN(1+C401/12),0)))),MAX(1,E401-1)))</f>
        <v>0</v>
      </c>
      <c r="O401" s="70">
        <f t="shared" ca="1" si="137"/>
        <v>0</v>
      </c>
      <c r="P401" s="70">
        <f t="shared" ca="1" si="151"/>
        <v>3559806.6550952047</v>
      </c>
      <c r="Q401" s="70">
        <f ca="1">IF(OR(A401&gt;入力設定!$B$6*12,P401+AC401&lt;0.000001),0,IF(P401&lt;0.000001,Q400,IF(AE401=1,IF(C401=0,P401/MAX(1,入力設定!$B$6*12-A401+1),P401*(C401/12)/(1-(1+C401/12)^(-MAX(1,入力設定!$B$6*12-A401+1)))),Q400)))</f>
        <v>150233.43899513123</v>
      </c>
      <c r="R401" s="70">
        <f ca="1">IF(P401+AC401&lt;0.000001,0,IF(A401=入力設定!$B$6*12,P401+AB401+AC401,MIN(Q401,P401+AB401+AC401)))</f>
        <v>150233.43899513123</v>
      </c>
      <c r="S401" s="70">
        <f t="shared" ca="1" si="138"/>
        <v>14832.527729563355</v>
      </c>
      <c r="T401" s="70">
        <f t="shared" ca="1" si="139"/>
        <v>135400.91126556788</v>
      </c>
      <c r="U401" s="70">
        <f t="shared" ca="1" si="140"/>
        <v>3424405.7438296368</v>
      </c>
      <c r="V401" s="70">
        <f t="shared" ca="1" si="141"/>
        <v>0</v>
      </c>
      <c r="W401" s="70">
        <f t="shared" ca="1" si="142"/>
        <v>0</v>
      </c>
      <c r="X401" s="70">
        <f t="shared" ca="1" si="143"/>
        <v>0</v>
      </c>
      <c r="Y401" s="71">
        <f t="shared" ca="1" si="144"/>
        <v>0</v>
      </c>
      <c r="Z401" s="71">
        <f t="shared" ca="1" si="152"/>
        <v>0</v>
      </c>
      <c r="AA401" s="71">
        <f t="shared" ca="1" si="145"/>
        <v>0</v>
      </c>
      <c r="AB401" s="71">
        <f t="shared" ca="1" si="146"/>
        <v>14832.527729563355</v>
      </c>
      <c r="AC401" s="71">
        <f t="shared" ca="1" si="153"/>
        <v>0</v>
      </c>
      <c r="AD401" s="71">
        <f t="shared" ca="1" si="147"/>
        <v>0</v>
      </c>
      <c r="AE401" s="72">
        <f t="shared" si="148"/>
        <v>0</v>
      </c>
      <c r="AF401" s="73">
        <f>IF(A401&gt;入力設定!$B$6*12,0,IF(AND(ISNUMBER(C401),C401&gt;=0,C401&lt;=1),0,1))</f>
        <v>0</v>
      </c>
    </row>
    <row r="402" spans="1:32" ht="21" customHeight="1">
      <c r="A402" s="68">
        <f>397</f>
        <v>397</v>
      </c>
      <c r="B402" s="69">
        <f>EDATE(入力設定!$B$7,A402-1)</f>
        <v>58380</v>
      </c>
      <c r="C402" s="80">
        <f>INDEX(入力設定!$C$15:$C$24,INT((A402-1)/60)+1)</f>
        <v>0.05</v>
      </c>
      <c r="D402" s="70">
        <f t="shared" ca="1" si="149"/>
        <v>0</v>
      </c>
      <c r="E402" s="70">
        <f t="shared" ca="1" si="150"/>
        <v>0</v>
      </c>
      <c r="F402" s="70">
        <f ca="1">IF(D402+Z402&lt;0.000001,0,IF(D402&lt;0.000001,F401,IF(OR(AE402=1,AND(K401&gt;0,入力設定!$B$8="返済額軽減型",入力設定!$B$11="翌月")),IF(C402=0,D402/MAX(1,E402),D402*(C402/12)/(1-(1+C402/12)^(-MAX(1,E402)))),F401)))</f>
        <v>0</v>
      </c>
      <c r="G402" s="70">
        <f t="shared" ca="1" si="132"/>
        <v>0</v>
      </c>
      <c r="H402" s="70">
        <f t="shared" ca="1" si="133"/>
        <v>0</v>
      </c>
      <c r="I402" s="70">
        <f t="shared" ca="1" si="134"/>
        <v>0</v>
      </c>
      <c r="J402" s="70">
        <f>SUMIFS(入力設定!$G$5:$G$24,入力設定!$F$5:$F$24,A402)</f>
        <v>0</v>
      </c>
      <c r="K402" s="70">
        <f t="shared" ca="1" si="135"/>
        <v>0</v>
      </c>
      <c r="L402" s="70">
        <f ca="1">IF(K402&gt;0,入力設定!$B$9,0)</f>
        <v>0</v>
      </c>
      <c r="M402" s="70">
        <f t="shared" ca="1" si="136"/>
        <v>0</v>
      </c>
      <c r="N402" s="70">
        <f ca="1">IF(M402+AA402&lt;0.000001,0,IF(AND(K402&gt;0,入力設定!$B$8="期間短縮型",AA402&lt;0.000001,F402&gt;M402*C402/12),MAX(1,MIN(E402-1,IF(C402=0,ROUNDUP(M402/F402,0),ROUNDUP(-LN(1-M402*(C402/12)/F402)/LN(1+C402/12),0)))),MAX(1,E402-1)))</f>
        <v>0</v>
      </c>
      <c r="O402" s="70">
        <f t="shared" ca="1" si="137"/>
        <v>0</v>
      </c>
      <c r="P402" s="70">
        <f t="shared" ca="1" si="151"/>
        <v>3424405.7438296368</v>
      </c>
      <c r="Q402" s="70">
        <f ca="1">IF(OR(A402&gt;入力設定!$B$6*12,P402+AC402&lt;0.000001),0,IF(P402&lt;0.000001,Q401,IF(AE402=1,IF(C402=0,P402/MAX(1,入力設定!$B$6*12-A402+1),P402*(C402/12)/(1-(1+C402/12)^(-MAX(1,入力設定!$B$6*12-A402+1)))),Q401)))</f>
        <v>150233.43899513123</v>
      </c>
      <c r="R402" s="70">
        <f ca="1">IF(P402+AC402&lt;0.000001,0,IF(A402=入力設定!$B$6*12,P402+AB402+AC402,MIN(Q402,P402+AB402+AC402)))</f>
        <v>150233.43899513123</v>
      </c>
      <c r="S402" s="70">
        <f t="shared" ca="1" si="138"/>
        <v>14268.357265956822</v>
      </c>
      <c r="T402" s="70">
        <f t="shared" ca="1" si="139"/>
        <v>135965.08172917442</v>
      </c>
      <c r="U402" s="70">
        <f t="shared" ca="1" si="140"/>
        <v>3288440.6621004622</v>
      </c>
      <c r="V402" s="70">
        <f t="shared" ca="1" si="141"/>
        <v>0</v>
      </c>
      <c r="W402" s="70">
        <f t="shared" ca="1" si="142"/>
        <v>0</v>
      </c>
      <c r="X402" s="70">
        <f t="shared" ca="1" si="143"/>
        <v>0</v>
      </c>
      <c r="Y402" s="71">
        <f t="shared" ca="1" si="144"/>
        <v>0</v>
      </c>
      <c r="Z402" s="71">
        <f t="shared" ca="1" si="152"/>
        <v>0</v>
      </c>
      <c r="AA402" s="71">
        <f t="shared" ca="1" si="145"/>
        <v>0</v>
      </c>
      <c r="AB402" s="71">
        <f t="shared" ca="1" si="146"/>
        <v>14268.357265956822</v>
      </c>
      <c r="AC402" s="71">
        <f t="shared" ca="1" si="153"/>
        <v>0</v>
      </c>
      <c r="AD402" s="71">
        <f t="shared" ca="1" si="147"/>
        <v>0</v>
      </c>
      <c r="AE402" s="72">
        <f t="shared" si="148"/>
        <v>0</v>
      </c>
      <c r="AF402" s="73">
        <f>IF(A402&gt;入力設定!$B$6*12,0,IF(AND(ISNUMBER(C402),C402&gt;=0,C402&lt;=1),0,1))</f>
        <v>0</v>
      </c>
    </row>
    <row r="403" spans="1:32" ht="21" customHeight="1">
      <c r="A403" s="68">
        <f>398</f>
        <v>398</v>
      </c>
      <c r="B403" s="69">
        <f>EDATE(入力設定!$B$7,A403-1)</f>
        <v>58410</v>
      </c>
      <c r="C403" s="80">
        <f>INDEX(入力設定!$C$15:$C$24,INT((A403-1)/60)+1)</f>
        <v>0.05</v>
      </c>
      <c r="D403" s="70">
        <f t="shared" ca="1" si="149"/>
        <v>0</v>
      </c>
      <c r="E403" s="70">
        <f t="shared" ca="1" si="150"/>
        <v>0</v>
      </c>
      <c r="F403" s="70">
        <f ca="1">IF(D403+Z403&lt;0.000001,0,IF(D403&lt;0.000001,F402,IF(OR(AE403=1,AND(K402&gt;0,入力設定!$B$8="返済額軽減型",入力設定!$B$11="翌月")),IF(C403=0,D403/MAX(1,E403),D403*(C403/12)/(1-(1+C403/12)^(-MAX(1,E403)))),F402)))</f>
        <v>0</v>
      </c>
      <c r="G403" s="70">
        <f t="shared" ca="1" si="132"/>
        <v>0</v>
      </c>
      <c r="H403" s="70">
        <f t="shared" ca="1" si="133"/>
        <v>0</v>
      </c>
      <c r="I403" s="70">
        <f t="shared" ca="1" si="134"/>
        <v>0</v>
      </c>
      <c r="J403" s="70">
        <f>SUMIFS(入力設定!$G$5:$G$24,入力設定!$F$5:$F$24,A403)</f>
        <v>0</v>
      </c>
      <c r="K403" s="70">
        <f t="shared" ca="1" si="135"/>
        <v>0</v>
      </c>
      <c r="L403" s="70">
        <f ca="1">IF(K403&gt;0,入力設定!$B$9,0)</f>
        <v>0</v>
      </c>
      <c r="M403" s="70">
        <f t="shared" ca="1" si="136"/>
        <v>0</v>
      </c>
      <c r="N403" s="70">
        <f ca="1">IF(M403+AA403&lt;0.000001,0,IF(AND(K403&gt;0,入力設定!$B$8="期間短縮型",AA403&lt;0.000001,F403&gt;M403*C403/12),MAX(1,MIN(E403-1,IF(C403=0,ROUNDUP(M403/F403,0),ROUNDUP(-LN(1-M403*(C403/12)/F403)/LN(1+C403/12),0)))),MAX(1,E403-1)))</f>
        <v>0</v>
      </c>
      <c r="O403" s="70">
        <f t="shared" ca="1" si="137"/>
        <v>0</v>
      </c>
      <c r="P403" s="70">
        <f t="shared" ca="1" si="151"/>
        <v>3288440.6621004622</v>
      </c>
      <c r="Q403" s="70">
        <f ca="1">IF(OR(A403&gt;入力設定!$B$6*12,P403+AC403&lt;0.000001),0,IF(P403&lt;0.000001,Q402,IF(AE403=1,IF(C403=0,P403/MAX(1,入力設定!$B$6*12-A403+1),P403*(C403/12)/(1-(1+C403/12)^(-MAX(1,入力設定!$B$6*12-A403+1)))),Q402)))</f>
        <v>150233.43899513123</v>
      </c>
      <c r="R403" s="70">
        <f ca="1">IF(P403+AC403&lt;0.000001,0,IF(A403=入力設定!$B$6*12,P403+AB403+AC403,MIN(Q403,P403+AB403+AC403)))</f>
        <v>150233.43899513123</v>
      </c>
      <c r="S403" s="70">
        <f t="shared" ca="1" si="138"/>
        <v>13701.836092085259</v>
      </c>
      <c r="T403" s="70">
        <f t="shared" ca="1" si="139"/>
        <v>136531.60290304598</v>
      </c>
      <c r="U403" s="70">
        <f t="shared" ca="1" si="140"/>
        <v>3151909.0591974161</v>
      </c>
      <c r="V403" s="70">
        <f t="shared" ca="1" si="141"/>
        <v>0</v>
      </c>
      <c r="W403" s="70">
        <f t="shared" ca="1" si="142"/>
        <v>0</v>
      </c>
      <c r="X403" s="70">
        <f t="shared" ca="1" si="143"/>
        <v>0</v>
      </c>
      <c r="Y403" s="71">
        <f t="shared" ca="1" si="144"/>
        <v>0</v>
      </c>
      <c r="Z403" s="71">
        <f t="shared" ca="1" si="152"/>
        <v>0</v>
      </c>
      <c r="AA403" s="71">
        <f t="shared" ca="1" si="145"/>
        <v>0</v>
      </c>
      <c r="AB403" s="71">
        <f t="shared" ca="1" si="146"/>
        <v>13701.836092085259</v>
      </c>
      <c r="AC403" s="71">
        <f t="shared" ca="1" si="153"/>
        <v>0</v>
      </c>
      <c r="AD403" s="71">
        <f t="shared" ca="1" si="147"/>
        <v>0</v>
      </c>
      <c r="AE403" s="72">
        <f t="shared" si="148"/>
        <v>0</v>
      </c>
      <c r="AF403" s="73">
        <f>IF(A403&gt;入力設定!$B$6*12,0,IF(AND(ISNUMBER(C403),C403&gt;=0,C403&lt;=1),0,1))</f>
        <v>0</v>
      </c>
    </row>
    <row r="404" spans="1:32" ht="21" customHeight="1">
      <c r="A404" s="68">
        <f>399</f>
        <v>399</v>
      </c>
      <c r="B404" s="69">
        <f>EDATE(入力設定!$B$7,A404-1)</f>
        <v>58441</v>
      </c>
      <c r="C404" s="80">
        <f>INDEX(入力設定!$C$15:$C$24,INT((A404-1)/60)+1)</f>
        <v>0.05</v>
      </c>
      <c r="D404" s="70">
        <f t="shared" ca="1" si="149"/>
        <v>0</v>
      </c>
      <c r="E404" s="70">
        <f t="shared" ca="1" si="150"/>
        <v>0</v>
      </c>
      <c r="F404" s="70">
        <f ca="1">IF(D404+Z404&lt;0.000001,0,IF(D404&lt;0.000001,F403,IF(OR(AE404=1,AND(K403&gt;0,入力設定!$B$8="返済額軽減型",入力設定!$B$11="翌月")),IF(C404=0,D404/MAX(1,E404),D404*(C404/12)/(1-(1+C404/12)^(-MAX(1,E404)))),F403)))</f>
        <v>0</v>
      </c>
      <c r="G404" s="70">
        <f t="shared" ca="1" si="132"/>
        <v>0</v>
      </c>
      <c r="H404" s="70">
        <f t="shared" ca="1" si="133"/>
        <v>0</v>
      </c>
      <c r="I404" s="70">
        <f t="shared" ca="1" si="134"/>
        <v>0</v>
      </c>
      <c r="J404" s="70">
        <f>SUMIFS(入力設定!$G$5:$G$24,入力設定!$F$5:$F$24,A404)</f>
        <v>0</v>
      </c>
      <c r="K404" s="70">
        <f t="shared" ca="1" si="135"/>
        <v>0</v>
      </c>
      <c r="L404" s="70">
        <f ca="1">IF(K404&gt;0,入力設定!$B$9,0)</f>
        <v>0</v>
      </c>
      <c r="M404" s="70">
        <f t="shared" ca="1" si="136"/>
        <v>0</v>
      </c>
      <c r="N404" s="70">
        <f ca="1">IF(M404+AA404&lt;0.000001,0,IF(AND(K404&gt;0,入力設定!$B$8="期間短縮型",AA404&lt;0.000001,F404&gt;M404*C404/12),MAX(1,MIN(E404-1,IF(C404=0,ROUNDUP(M404/F404,0),ROUNDUP(-LN(1-M404*(C404/12)/F404)/LN(1+C404/12),0)))),MAX(1,E404-1)))</f>
        <v>0</v>
      </c>
      <c r="O404" s="70">
        <f t="shared" ca="1" si="137"/>
        <v>0</v>
      </c>
      <c r="P404" s="70">
        <f t="shared" ca="1" si="151"/>
        <v>3151909.0591974161</v>
      </c>
      <c r="Q404" s="70">
        <f ca="1">IF(OR(A404&gt;入力設定!$B$6*12,P404+AC404&lt;0.000001),0,IF(P404&lt;0.000001,Q403,IF(AE404=1,IF(C404=0,P404/MAX(1,入力設定!$B$6*12-A404+1),P404*(C404/12)/(1-(1+C404/12)^(-MAX(1,入力設定!$B$6*12-A404+1)))),Q403)))</f>
        <v>150233.43899513123</v>
      </c>
      <c r="R404" s="70">
        <f ca="1">IF(P404+AC404&lt;0.000001,0,IF(A404=入力設定!$B$6*12,P404+AB404+AC404,MIN(Q404,P404+AB404+AC404)))</f>
        <v>150233.43899513123</v>
      </c>
      <c r="S404" s="70">
        <f t="shared" ca="1" si="138"/>
        <v>13132.954413322566</v>
      </c>
      <c r="T404" s="70">
        <f t="shared" ca="1" si="139"/>
        <v>137100.48458180868</v>
      </c>
      <c r="U404" s="70">
        <f t="shared" ca="1" si="140"/>
        <v>3014808.5746156075</v>
      </c>
      <c r="V404" s="70">
        <f t="shared" ca="1" si="141"/>
        <v>0</v>
      </c>
      <c r="W404" s="70">
        <f t="shared" ca="1" si="142"/>
        <v>0</v>
      </c>
      <c r="X404" s="70">
        <f t="shared" ca="1" si="143"/>
        <v>0</v>
      </c>
      <c r="Y404" s="71">
        <f t="shared" ca="1" si="144"/>
        <v>0</v>
      </c>
      <c r="Z404" s="71">
        <f t="shared" ca="1" si="152"/>
        <v>0</v>
      </c>
      <c r="AA404" s="71">
        <f t="shared" ca="1" si="145"/>
        <v>0</v>
      </c>
      <c r="AB404" s="71">
        <f t="shared" ca="1" si="146"/>
        <v>13132.954413322566</v>
      </c>
      <c r="AC404" s="71">
        <f t="shared" ca="1" si="153"/>
        <v>0</v>
      </c>
      <c r="AD404" s="71">
        <f t="shared" ca="1" si="147"/>
        <v>0</v>
      </c>
      <c r="AE404" s="72">
        <f t="shared" si="148"/>
        <v>0</v>
      </c>
      <c r="AF404" s="73">
        <f>IF(A404&gt;入力設定!$B$6*12,0,IF(AND(ISNUMBER(C404),C404&gt;=0,C404&lt;=1),0,1))</f>
        <v>0</v>
      </c>
    </row>
    <row r="405" spans="1:32" ht="21" customHeight="1">
      <c r="A405" s="68">
        <f>400</f>
        <v>400</v>
      </c>
      <c r="B405" s="69">
        <f>EDATE(入力設定!$B$7,A405-1)</f>
        <v>58472</v>
      </c>
      <c r="C405" s="80">
        <f>INDEX(入力設定!$C$15:$C$24,INT((A405-1)/60)+1)</f>
        <v>0.05</v>
      </c>
      <c r="D405" s="70">
        <f t="shared" ca="1" si="149"/>
        <v>0</v>
      </c>
      <c r="E405" s="70">
        <f t="shared" ca="1" si="150"/>
        <v>0</v>
      </c>
      <c r="F405" s="70">
        <f ca="1">IF(D405+Z405&lt;0.000001,0,IF(D405&lt;0.000001,F404,IF(OR(AE405=1,AND(K404&gt;0,入力設定!$B$8="返済額軽減型",入力設定!$B$11="翌月")),IF(C405=0,D405/MAX(1,E405),D405*(C405/12)/(1-(1+C405/12)^(-MAX(1,E405)))),F404)))</f>
        <v>0</v>
      </c>
      <c r="G405" s="70">
        <f t="shared" ca="1" si="132"/>
        <v>0</v>
      </c>
      <c r="H405" s="70">
        <f t="shared" ca="1" si="133"/>
        <v>0</v>
      </c>
      <c r="I405" s="70">
        <f t="shared" ca="1" si="134"/>
        <v>0</v>
      </c>
      <c r="J405" s="70">
        <f>SUMIFS(入力設定!$G$5:$G$24,入力設定!$F$5:$F$24,A405)</f>
        <v>0</v>
      </c>
      <c r="K405" s="70">
        <f t="shared" ca="1" si="135"/>
        <v>0</v>
      </c>
      <c r="L405" s="70">
        <f ca="1">IF(K405&gt;0,入力設定!$B$9,0)</f>
        <v>0</v>
      </c>
      <c r="M405" s="70">
        <f t="shared" ca="1" si="136"/>
        <v>0</v>
      </c>
      <c r="N405" s="70">
        <f ca="1">IF(M405+AA405&lt;0.000001,0,IF(AND(K405&gt;0,入力設定!$B$8="期間短縮型",AA405&lt;0.000001,F405&gt;M405*C405/12),MAX(1,MIN(E405-1,IF(C405=0,ROUNDUP(M405/F405,0),ROUNDUP(-LN(1-M405*(C405/12)/F405)/LN(1+C405/12),0)))),MAX(1,E405-1)))</f>
        <v>0</v>
      </c>
      <c r="O405" s="70">
        <f t="shared" ca="1" si="137"/>
        <v>0</v>
      </c>
      <c r="P405" s="70">
        <f t="shared" ca="1" si="151"/>
        <v>3014808.5746156075</v>
      </c>
      <c r="Q405" s="70">
        <f ca="1">IF(OR(A405&gt;入力設定!$B$6*12,P405+AC405&lt;0.000001),0,IF(P405&lt;0.000001,Q404,IF(AE405=1,IF(C405=0,P405/MAX(1,入力設定!$B$6*12-A405+1),P405*(C405/12)/(1-(1+C405/12)^(-MAX(1,入力設定!$B$6*12-A405+1)))),Q404)))</f>
        <v>150233.43899513123</v>
      </c>
      <c r="R405" s="70">
        <f ca="1">IF(P405+AC405&lt;0.000001,0,IF(A405=入力設定!$B$6*12,P405+AB405+AC405,MIN(Q405,P405+AB405+AC405)))</f>
        <v>150233.43899513123</v>
      </c>
      <c r="S405" s="70">
        <f t="shared" ca="1" si="138"/>
        <v>12561.702394231697</v>
      </c>
      <c r="T405" s="70">
        <f t="shared" ca="1" si="139"/>
        <v>137671.73660089955</v>
      </c>
      <c r="U405" s="70">
        <f t="shared" ca="1" si="140"/>
        <v>2877136.8380147079</v>
      </c>
      <c r="V405" s="70">
        <f t="shared" ca="1" si="141"/>
        <v>0</v>
      </c>
      <c r="W405" s="70">
        <f t="shared" ca="1" si="142"/>
        <v>0</v>
      </c>
      <c r="X405" s="70">
        <f t="shared" ca="1" si="143"/>
        <v>0</v>
      </c>
      <c r="Y405" s="71">
        <f t="shared" ca="1" si="144"/>
        <v>0</v>
      </c>
      <c r="Z405" s="71">
        <f t="shared" ca="1" si="152"/>
        <v>0</v>
      </c>
      <c r="AA405" s="71">
        <f t="shared" ca="1" si="145"/>
        <v>0</v>
      </c>
      <c r="AB405" s="71">
        <f t="shared" ca="1" si="146"/>
        <v>12561.702394231697</v>
      </c>
      <c r="AC405" s="71">
        <f t="shared" ca="1" si="153"/>
        <v>0</v>
      </c>
      <c r="AD405" s="71">
        <f t="shared" ca="1" si="147"/>
        <v>0</v>
      </c>
      <c r="AE405" s="72">
        <f t="shared" si="148"/>
        <v>0</v>
      </c>
      <c r="AF405" s="73">
        <f>IF(A405&gt;入力設定!$B$6*12,0,IF(AND(ISNUMBER(C405),C405&gt;=0,C405&lt;=1),0,1))</f>
        <v>0</v>
      </c>
    </row>
    <row r="406" spans="1:32" ht="21" customHeight="1">
      <c r="A406" s="68">
        <f>401</f>
        <v>401</v>
      </c>
      <c r="B406" s="69">
        <f>EDATE(入力設定!$B$7,A406-1)</f>
        <v>58501</v>
      </c>
      <c r="C406" s="80">
        <f>INDEX(入力設定!$C$15:$C$24,INT((A406-1)/60)+1)</f>
        <v>0.05</v>
      </c>
      <c r="D406" s="70">
        <f t="shared" ca="1" si="149"/>
        <v>0</v>
      </c>
      <c r="E406" s="70">
        <f t="shared" ca="1" si="150"/>
        <v>0</v>
      </c>
      <c r="F406" s="70">
        <f ca="1">IF(D406+Z406&lt;0.000001,0,IF(D406&lt;0.000001,F405,IF(OR(AE406=1,AND(K405&gt;0,入力設定!$B$8="返済額軽減型",入力設定!$B$11="翌月")),IF(C406=0,D406/MAX(1,E406),D406*(C406/12)/(1-(1+C406/12)^(-MAX(1,E406)))),F405)))</f>
        <v>0</v>
      </c>
      <c r="G406" s="70">
        <f t="shared" ca="1" si="132"/>
        <v>0</v>
      </c>
      <c r="H406" s="70">
        <f t="shared" ca="1" si="133"/>
        <v>0</v>
      </c>
      <c r="I406" s="70">
        <f t="shared" ca="1" si="134"/>
        <v>0</v>
      </c>
      <c r="J406" s="70">
        <f>SUMIFS(入力設定!$G$5:$G$24,入力設定!$F$5:$F$24,A406)</f>
        <v>0</v>
      </c>
      <c r="K406" s="70">
        <f t="shared" ca="1" si="135"/>
        <v>0</v>
      </c>
      <c r="L406" s="70">
        <f ca="1">IF(K406&gt;0,入力設定!$B$9,0)</f>
        <v>0</v>
      </c>
      <c r="M406" s="70">
        <f t="shared" ca="1" si="136"/>
        <v>0</v>
      </c>
      <c r="N406" s="70">
        <f ca="1">IF(M406+AA406&lt;0.000001,0,IF(AND(K406&gt;0,入力設定!$B$8="期間短縮型",AA406&lt;0.000001,F406&gt;M406*C406/12),MAX(1,MIN(E406-1,IF(C406=0,ROUNDUP(M406/F406,0),ROUNDUP(-LN(1-M406*(C406/12)/F406)/LN(1+C406/12),0)))),MAX(1,E406-1)))</f>
        <v>0</v>
      </c>
      <c r="O406" s="70">
        <f t="shared" ca="1" si="137"/>
        <v>0</v>
      </c>
      <c r="P406" s="70">
        <f t="shared" ca="1" si="151"/>
        <v>2877136.8380147079</v>
      </c>
      <c r="Q406" s="70">
        <f ca="1">IF(OR(A406&gt;入力設定!$B$6*12,P406+AC406&lt;0.000001),0,IF(P406&lt;0.000001,Q405,IF(AE406=1,IF(C406=0,P406/MAX(1,入力設定!$B$6*12-A406+1),P406*(C406/12)/(1-(1+C406/12)^(-MAX(1,入力設定!$B$6*12-A406+1)))),Q405)))</f>
        <v>150233.43899513123</v>
      </c>
      <c r="R406" s="70">
        <f ca="1">IF(P406+AC406&lt;0.000001,0,IF(A406=入力設定!$B$6*12,P406+AB406+AC406,MIN(Q406,P406+AB406+AC406)))</f>
        <v>150233.43899513123</v>
      </c>
      <c r="S406" s="70">
        <f t="shared" ca="1" si="138"/>
        <v>11988.070158394616</v>
      </c>
      <c r="T406" s="70">
        <f t="shared" ca="1" si="139"/>
        <v>138245.36883673663</v>
      </c>
      <c r="U406" s="70">
        <f t="shared" ca="1" si="140"/>
        <v>2738891.4691779711</v>
      </c>
      <c r="V406" s="70">
        <f t="shared" ca="1" si="141"/>
        <v>0</v>
      </c>
      <c r="W406" s="70">
        <f t="shared" ca="1" si="142"/>
        <v>0</v>
      </c>
      <c r="X406" s="70">
        <f t="shared" ca="1" si="143"/>
        <v>0</v>
      </c>
      <c r="Y406" s="71">
        <f t="shared" ca="1" si="144"/>
        <v>0</v>
      </c>
      <c r="Z406" s="71">
        <f t="shared" ca="1" si="152"/>
        <v>0</v>
      </c>
      <c r="AA406" s="71">
        <f t="shared" ca="1" si="145"/>
        <v>0</v>
      </c>
      <c r="AB406" s="71">
        <f t="shared" ca="1" si="146"/>
        <v>11988.070158394616</v>
      </c>
      <c r="AC406" s="71">
        <f t="shared" ca="1" si="153"/>
        <v>0</v>
      </c>
      <c r="AD406" s="71">
        <f t="shared" ca="1" si="147"/>
        <v>0</v>
      </c>
      <c r="AE406" s="72">
        <f t="shared" si="148"/>
        <v>0</v>
      </c>
      <c r="AF406" s="73">
        <f>IF(A406&gt;入力設定!$B$6*12,0,IF(AND(ISNUMBER(C406),C406&gt;=0,C406&lt;=1),0,1))</f>
        <v>0</v>
      </c>
    </row>
    <row r="407" spans="1:32" ht="21" customHeight="1">
      <c r="A407" s="68">
        <f>402</f>
        <v>402</v>
      </c>
      <c r="B407" s="69">
        <f>EDATE(入力設定!$B$7,A407-1)</f>
        <v>58532</v>
      </c>
      <c r="C407" s="80">
        <f>INDEX(入力設定!$C$15:$C$24,INT((A407-1)/60)+1)</f>
        <v>0.05</v>
      </c>
      <c r="D407" s="70">
        <f t="shared" ca="1" si="149"/>
        <v>0</v>
      </c>
      <c r="E407" s="70">
        <f t="shared" ca="1" si="150"/>
        <v>0</v>
      </c>
      <c r="F407" s="70">
        <f ca="1">IF(D407+Z407&lt;0.000001,0,IF(D407&lt;0.000001,F406,IF(OR(AE407=1,AND(K406&gt;0,入力設定!$B$8="返済額軽減型",入力設定!$B$11="翌月")),IF(C407=0,D407/MAX(1,E407),D407*(C407/12)/(1-(1+C407/12)^(-MAX(1,E407)))),F406)))</f>
        <v>0</v>
      </c>
      <c r="G407" s="70">
        <f t="shared" ca="1" si="132"/>
        <v>0</v>
      </c>
      <c r="H407" s="70">
        <f t="shared" ca="1" si="133"/>
        <v>0</v>
      </c>
      <c r="I407" s="70">
        <f t="shared" ca="1" si="134"/>
        <v>0</v>
      </c>
      <c r="J407" s="70">
        <f>SUMIFS(入力設定!$G$5:$G$24,入力設定!$F$5:$F$24,A407)</f>
        <v>0</v>
      </c>
      <c r="K407" s="70">
        <f t="shared" ca="1" si="135"/>
        <v>0</v>
      </c>
      <c r="L407" s="70">
        <f ca="1">IF(K407&gt;0,入力設定!$B$9,0)</f>
        <v>0</v>
      </c>
      <c r="M407" s="70">
        <f t="shared" ca="1" si="136"/>
        <v>0</v>
      </c>
      <c r="N407" s="70">
        <f ca="1">IF(M407+AA407&lt;0.000001,0,IF(AND(K407&gt;0,入力設定!$B$8="期間短縮型",AA407&lt;0.000001,F407&gt;M407*C407/12),MAX(1,MIN(E407-1,IF(C407=0,ROUNDUP(M407/F407,0),ROUNDUP(-LN(1-M407*(C407/12)/F407)/LN(1+C407/12),0)))),MAX(1,E407-1)))</f>
        <v>0</v>
      </c>
      <c r="O407" s="70">
        <f t="shared" ca="1" si="137"/>
        <v>0</v>
      </c>
      <c r="P407" s="70">
        <f t="shared" ca="1" si="151"/>
        <v>2738891.4691779711</v>
      </c>
      <c r="Q407" s="70">
        <f ca="1">IF(OR(A407&gt;入力設定!$B$6*12,P407+AC407&lt;0.000001),0,IF(P407&lt;0.000001,Q406,IF(AE407=1,IF(C407=0,P407/MAX(1,入力設定!$B$6*12-A407+1),P407*(C407/12)/(1-(1+C407/12)^(-MAX(1,入力設定!$B$6*12-A407+1)))),Q406)))</f>
        <v>150233.43899513123</v>
      </c>
      <c r="R407" s="70">
        <f ca="1">IF(P407+AC407&lt;0.000001,0,IF(A407=入力設定!$B$6*12,P407+AB407+AC407,MIN(Q407,P407+AB407+AC407)))</f>
        <v>150233.43899513123</v>
      </c>
      <c r="S407" s="70">
        <f t="shared" ca="1" si="138"/>
        <v>11412.047788241545</v>
      </c>
      <c r="T407" s="70">
        <f t="shared" ca="1" si="139"/>
        <v>138821.39120688968</v>
      </c>
      <c r="U407" s="70">
        <f t="shared" ca="1" si="140"/>
        <v>2600070.0779710812</v>
      </c>
      <c r="V407" s="70">
        <f t="shared" ca="1" si="141"/>
        <v>0</v>
      </c>
      <c r="W407" s="70">
        <f t="shared" ca="1" si="142"/>
        <v>0</v>
      </c>
      <c r="X407" s="70">
        <f t="shared" ca="1" si="143"/>
        <v>0</v>
      </c>
      <c r="Y407" s="71">
        <f t="shared" ca="1" si="144"/>
        <v>0</v>
      </c>
      <c r="Z407" s="71">
        <f t="shared" ca="1" si="152"/>
        <v>0</v>
      </c>
      <c r="AA407" s="71">
        <f t="shared" ca="1" si="145"/>
        <v>0</v>
      </c>
      <c r="AB407" s="71">
        <f t="shared" ca="1" si="146"/>
        <v>11412.047788241545</v>
      </c>
      <c r="AC407" s="71">
        <f t="shared" ca="1" si="153"/>
        <v>0</v>
      </c>
      <c r="AD407" s="71">
        <f t="shared" ca="1" si="147"/>
        <v>0</v>
      </c>
      <c r="AE407" s="72">
        <f t="shared" si="148"/>
        <v>0</v>
      </c>
      <c r="AF407" s="73">
        <f>IF(A407&gt;入力設定!$B$6*12,0,IF(AND(ISNUMBER(C407),C407&gt;=0,C407&lt;=1),0,1))</f>
        <v>0</v>
      </c>
    </row>
    <row r="408" spans="1:32" ht="21" customHeight="1">
      <c r="A408" s="68">
        <f>403</f>
        <v>403</v>
      </c>
      <c r="B408" s="69">
        <f>EDATE(入力設定!$B$7,A408-1)</f>
        <v>58562</v>
      </c>
      <c r="C408" s="80">
        <f>INDEX(入力設定!$C$15:$C$24,INT((A408-1)/60)+1)</f>
        <v>0.05</v>
      </c>
      <c r="D408" s="70">
        <f t="shared" ca="1" si="149"/>
        <v>0</v>
      </c>
      <c r="E408" s="70">
        <f t="shared" ca="1" si="150"/>
        <v>0</v>
      </c>
      <c r="F408" s="70">
        <f ca="1">IF(D408+Z408&lt;0.000001,0,IF(D408&lt;0.000001,F407,IF(OR(AE408=1,AND(K407&gt;0,入力設定!$B$8="返済額軽減型",入力設定!$B$11="翌月")),IF(C408=0,D408/MAX(1,E408),D408*(C408/12)/(1-(1+C408/12)^(-MAX(1,E408)))),F407)))</f>
        <v>0</v>
      </c>
      <c r="G408" s="70">
        <f t="shared" ca="1" si="132"/>
        <v>0</v>
      </c>
      <c r="H408" s="70">
        <f t="shared" ca="1" si="133"/>
        <v>0</v>
      </c>
      <c r="I408" s="70">
        <f t="shared" ca="1" si="134"/>
        <v>0</v>
      </c>
      <c r="J408" s="70">
        <f>SUMIFS(入力設定!$G$5:$G$24,入力設定!$F$5:$F$24,A408)</f>
        <v>0</v>
      </c>
      <c r="K408" s="70">
        <f t="shared" ca="1" si="135"/>
        <v>0</v>
      </c>
      <c r="L408" s="70">
        <f ca="1">IF(K408&gt;0,入力設定!$B$9,0)</f>
        <v>0</v>
      </c>
      <c r="M408" s="70">
        <f t="shared" ca="1" si="136"/>
        <v>0</v>
      </c>
      <c r="N408" s="70">
        <f ca="1">IF(M408+AA408&lt;0.000001,0,IF(AND(K408&gt;0,入力設定!$B$8="期間短縮型",AA408&lt;0.000001,F408&gt;M408*C408/12),MAX(1,MIN(E408-1,IF(C408=0,ROUNDUP(M408/F408,0),ROUNDUP(-LN(1-M408*(C408/12)/F408)/LN(1+C408/12),0)))),MAX(1,E408-1)))</f>
        <v>0</v>
      </c>
      <c r="O408" s="70">
        <f t="shared" ca="1" si="137"/>
        <v>0</v>
      </c>
      <c r="P408" s="70">
        <f t="shared" ca="1" si="151"/>
        <v>2600070.0779710812</v>
      </c>
      <c r="Q408" s="70">
        <f ca="1">IF(OR(A408&gt;入力設定!$B$6*12,P408+AC408&lt;0.000001),0,IF(P408&lt;0.000001,Q407,IF(AE408=1,IF(C408=0,P408/MAX(1,入力設定!$B$6*12-A408+1),P408*(C408/12)/(1-(1+C408/12)^(-MAX(1,入力設定!$B$6*12-A408+1)))),Q407)))</f>
        <v>150233.43899513123</v>
      </c>
      <c r="R408" s="70">
        <f ca="1">IF(P408+AC408&lt;0.000001,0,IF(A408=入力設定!$B$6*12,P408+AB408+AC408,MIN(Q408,P408+AB408+AC408)))</f>
        <v>150233.43899513123</v>
      </c>
      <c r="S408" s="70">
        <f t="shared" ca="1" si="138"/>
        <v>10833.625324879506</v>
      </c>
      <c r="T408" s="70">
        <f t="shared" ca="1" si="139"/>
        <v>139399.81367025172</v>
      </c>
      <c r="U408" s="70">
        <f t="shared" ca="1" si="140"/>
        <v>2460670.2643008297</v>
      </c>
      <c r="V408" s="70">
        <f t="shared" ca="1" si="141"/>
        <v>0</v>
      </c>
      <c r="W408" s="70">
        <f t="shared" ca="1" si="142"/>
        <v>0</v>
      </c>
      <c r="X408" s="70">
        <f t="shared" ca="1" si="143"/>
        <v>0</v>
      </c>
      <c r="Y408" s="71">
        <f t="shared" ca="1" si="144"/>
        <v>0</v>
      </c>
      <c r="Z408" s="71">
        <f t="shared" ca="1" si="152"/>
        <v>0</v>
      </c>
      <c r="AA408" s="71">
        <f t="shared" ca="1" si="145"/>
        <v>0</v>
      </c>
      <c r="AB408" s="71">
        <f t="shared" ca="1" si="146"/>
        <v>10833.625324879506</v>
      </c>
      <c r="AC408" s="71">
        <f t="shared" ca="1" si="153"/>
        <v>0</v>
      </c>
      <c r="AD408" s="71">
        <f t="shared" ca="1" si="147"/>
        <v>0</v>
      </c>
      <c r="AE408" s="72">
        <f t="shared" si="148"/>
        <v>0</v>
      </c>
      <c r="AF408" s="73">
        <f>IF(A408&gt;入力設定!$B$6*12,0,IF(AND(ISNUMBER(C408),C408&gt;=0,C408&lt;=1),0,1))</f>
        <v>0</v>
      </c>
    </row>
    <row r="409" spans="1:32" ht="21" customHeight="1">
      <c r="A409" s="68">
        <f>404</f>
        <v>404</v>
      </c>
      <c r="B409" s="69">
        <f>EDATE(入力設定!$B$7,A409-1)</f>
        <v>58593</v>
      </c>
      <c r="C409" s="80">
        <f>INDEX(入力設定!$C$15:$C$24,INT((A409-1)/60)+1)</f>
        <v>0.05</v>
      </c>
      <c r="D409" s="70">
        <f t="shared" ca="1" si="149"/>
        <v>0</v>
      </c>
      <c r="E409" s="70">
        <f t="shared" ca="1" si="150"/>
        <v>0</v>
      </c>
      <c r="F409" s="70">
        <f ca="1">IF(D409+Z409&lt;0.000001,0,IF(D409&lt;0.000001,F408,IF(OR(AE409=1,AND(K408&gt;0,入力設定!$B$8="返済額軽減型",入力設定!$B$11="翌月")),IF(C409=0,D409/MAX(1,E409),D409*(C409/12)/(1-(1+C409/12)^(-MAX(1,E409)))),F408)))</f>
        <v>0</v>
      </c>
      <c r="G409" s="70">
        <f t="shared" ca="1" si="132"/>
        <v>0</v>
      </c>
      <c r="H409" s="70">
        <f t="shared" ca="1" si="133"/>
        <v>0</v>
      </c>
      <c r="I409" s="70">
        <f t="shared" ca="1" si="134"/>
        <v>0</v>
      </c>
      <c r="J409" s="70">
        <f>SUMIFS(入力設定!$G$5:$G$24,入力設定!$F$5:$F$24,A409)</f>
        <v>0</v>
      </c>
      <c r="K409" s="70">
        <f t="shared" ca="1" si="135"/>
        <v>0</v>
      </c>
      <c r="L409" s="70">
        <f ca="1">IF(K409&gt;0,入力設定!$B$9,0)</f>
        <v>0</v>
      </c>
      <c r="M409" s="70">
        <f t="shared" ca="1" si="136"/>
        <v>0</v>
      </c>
      <c r="N409" s="70">
        <f ca="1">IF(M409+AA409&lt;0.000001,0,IF(AND(K409&gt;0,入力設定!$B$8="期間短縮型",AA409&lt;0.000001,F409&gt;M409*C409/12),MAX(1,MIN(E409-1,IF(C409=0,ROUNDUP(M409/F409,0),ROUNDUP(-LN(1-M409*(C409/12)/F409)/LN(1+C409/12),0)))),MAX(1,E409-1)))</f>
        <v>0</v>
      </c>
      <c r="O409" s="70">
        <f t="shared" ca="1" si="137"/>
        <v>0</v>
      </c>
      <c r="P409" s="70">
        <f t="shared" ca="1" si="151"/>
        <v>2460670.2643008297</v>
      </c>
      <c r="Q409" s="70">
        <f ca="1">IF(OR(A409&gt;入力設定!$B$6*12,P409+AC409&lt;0.000001),0,IF(P409&lt;0.000001,Q408,IF(AE409=1,IF(C409=0,P409/MAX(1,入力設定!$B$6*12-A409+1),P409*(C409/12)/(1-(1+C409/12)^(-MAX(1,入力設定!$B$6*12-A409+1)))),Q408)))</f>
        <v>150233.43899513123</v>
      </c>
      <c r="R409" s="70">
        <f ca="1">IF(P409+AC409&lt;0.000001,0,IF(A409=入力設定!$B$6*12,P409+AB409+AC409,MIN(Q409,P409+AB409+AC409)))</f>
        <v>150233.43899513123</v>
      </c>
      <c r="S409" s="70">
        <f t="shared" ca="1" si="138"/>
        <v>10252.792767920124</v>
      </c>
      <c r="T409" s="70">
        <f t="shared" ca="1" si="139"/>
        <v>139980.64622721111</v>
      </c>
      <c r="U409" s="70">
        <f t="shared" ca="1" si="140"/>
        <v>2320689.6180736185</v>
      </c>
      <c r="V409" s="70">
        <f t="shared" ca="1" si="141"/>
        <v>0</v>
      </c>
      <c r="W409" s="70">
        <f t="shared" ca="1" si="142"/>
        <v>0</v>
      </c>
      <c r="X409" s="70">
        <f t="shared" ca="1" si="143"/>
        <v>0</v>
      </c>
      <c r="Y409" s="71">
        <f t="shared" ca="1" si="144"/>
        <v>0</v>
      </c>
      <c r="Z409" s="71">
        <f t="shared" ca="1" si="152"/>
        <v>0</v>
      </c>
      <c r="AA409" s="71">
        <f t="shared" ca="1" si="145"/>
        <v>0</v>
      </c>
      <c r="AB409" s="71">
        <f t="shared" ca="1" si="146"/>
        <v>10252.792767920124</v>
      </c>
      <c r="AC409" s="71">
        <f t="shared" ca="1" si="153"/>
        <v>0</v>
      </c>
      <c r="AD409" s="71">
        <f t="shared" ca="1" si="147"/>
        <v>0</v>
      </c>
      <c r="AE409" s="72">
        <f t="shared" si="148"/>
        <v>0</v>
      </c>
      <c r="AF409" s="73">
        <f>IF(A409&gt;入力設定!$B$6*12,0,IF(AND(ISNUMBER(C409),C409&gt;=0,C409&lt;=1),0,1))</f>
        <v>0</v>
      </c>
    </row>
    <row r="410" spans="1:32" ht="21" customHeight="1">
      <c r="A410" s="68">
        <f>405</f>
        <v>405</v>
      </c>
      <c r="B410" s="69">
        <f>EDATE(入力設定!$B$7,A410-1)</f>
        <v>58623</v>
      </c>
      <c r="C410" s="80">
        <f>INDEX(入力設定!$C$15:$C$24,INT((A410-1)/60)+1)</f>
        <v>0.05</v>
      </c>
      <c r="D410" s="70">
        <f t="shared" ca="1" si="149"/>
        <v>0</v>
      </c>
      <c r="E410" s="70">
        <f t="shared" ca="1" si="150"/>
        <v>0</v>
      </c>
      <c r="F410" s="70">
        <f ca="1">IF(D410+Z410&lt;0.000001,0,IF(D410&lt;0.000001,F409,IF(OR(AE410=1,AND(K409&gt;0,入力設定!$B$8="返済額軽減型",入力設定!$B$11="翌月")),IF(C410=0,D410/MAX(1,E410),D410*(C410/12)/(1-(1+C410/12)^(-MAX(1,E410)))),F409)))</f>
        <v>0</v>
      </c>
      <c r="G410" s="70">
        <f t="shared" ca="1" si="132"/>
        <v>0</v>
      </c>
      <c r="H410" s="70">
        <f t="shared" ca="1" si="133"/>
        <v>0</v>
      </c>
      <c r="I410" s="70">
        <f t="shared" ca="1" si="134"/>
        <v>0</v>
      </c>
      <c r="J410" s="70">
        <f>SUMIFS(入力設定!$G$5:$G$24,入力設定!$F$5:$F$24,A410)</f>
        <v>0</v>
      </c>
      <c r="K410" s="70">
        <f t="shared" ca="1" si="135"/>
        <v>0</v>
      </c>
      <c r="L410" s="70">
        <f ca="1">IF(K410&gt;0,入力設定!$B$9,0)</f>
        <v>0</v>
      </c>
      <c r="M410" s="70">
        <f t="shared" ca="1" si="136"/>
        <v>0</v>
      </c>
      <c r="N410" s="70">
        <f ca="1">IF(M410+AA410&lt;0.000001,0,IF(AND(K410&gt;0,入力設定!$B$8="期間短縮型",AA410&lt;0.000001,F410&gt;M410*C410/12),MAX(1,MIN(E410-1,IF(C410=0,ROUNDUP(M410/F410,0),ROUNDUP(-LN(1-M410*(C410/12)/F410)/LN(1+C410/12),0)))),MAX(1,E410-1)))</f>
        <v>0</v>
      </c>
      <c r="O410" s="70">
        <f t="shared" ca="1" si="137"/>
        <v>0</v>
      </c>
      <c r="P410" s="70">
        <f t="shared" ca="1" si="151"/>
        <v>2320689.6180736185</v>
      </c>
      <c r="Q410" s="70">
        <f ca="1">IF(OR(A410&gt;入力設定!$B$6*12,P410+AC410&lt;0.000001),0,IF(P410&lt;0.000001,Q409,IF(AE410=1,IF(C410=0,P410/MAX(1,入力設定!$B$6*12-A410+1),P410*(C410/12)/(1-(1+C410/12)^(-MAX(1,入力設定!$B$6*12-A410+1)))),Q409)))</f>
        <v>150233.43899513123</v>
      </c>
      <c r="R410" s="70">
        <f ca="1">IF(P410+AC410&lt;0.000001,0,IF(A410=入力設定!$B$6*12,P410+AB410+AC410,MIN(Q410,P410+AB410+AC410)))</f>
        <v>150233.43899513123</v>
      </c>
      <c r="S410" s="70">
        <f t="shared" ca="1" si="138"/>
        <v>9669.5400753067443</v>
      </c>
      <c r="T410" s="70">
        <f t="shared" ca="1" si="139"/>
        <v>140563.89891982448</v>
      </c>
      <c r="U410" s="70">
        <f t="shared" ca="1" si="140"/>
        <v>2180125.719153794</v>
      </c>
      <c r="V410" s="70">
        <f t="shared" ca="1" si="141"/>
        <v>0</v>
      </c>
      <c r="W410" s="70">
        <f t="shared" ca="1" si="142"/>
        <v>0</v>
      </c>
      <c r="X410" s="70">
        <f t="shared" ca="1" si="143"/>
        <v>0</v>
      </c>
      <c r="Y410" s="71">
        <f t="shared" ca="1" si="144"/>
        <v>0</v>
      </c>
      <c r="Z410" s="71">
        <f t="shared" ca="1" si="152"/>
        <v>0</v>
      </c>
      <c r="AA410" s="71">
        <f t="shared" ca="1" si="145"/>
        <v>0</v>
      </c>
      <c r="AB410" s="71">
        <f t="shared" ca="1" si="146"/>
        <v>9669.5400753067443</v>
      </c>
      <c r="AC410" s="71">
        <f t="shared" ca="1" si="153"/>
        <v>0</v>
      </c>
      <c r="AD410" s="71">
        <f t="shared" ca="1" si="147"/>
        <v>0</v>
      </c>
      <c r="AE410" s="72">
        <f t="shared" si="148"/>
        <v>0</v>
      </c>
      <c r="AF410" s="73">
        <f>IF(A410&gt;入力設定!$B$6*12,0,IF(AND(ISNUMBER(C410),C410&gt;=0,C410&lt;=1),0,1))</f>
        <v>0</v>
      </c>
    </row>
    <row r="411" spans="1:32" ht="21" customHeight="1">
      <c r="A411" s="68">
        <f>406</f>
        <v>406</v>
      </c>
      <c r="B411" s="69">
        <f>EDATE(入力設定!$B$7,A411-1)</f>
        <v>58654</v>
      </c>
      <c r="C411" s="80">
        <f>INDEX(入力設定!$C$15:$C$24,INT((A411-1)/60)+1)</f>
        <v>0.05</v>
      </c>
      <c r="D411" s="70">
        <f t="shared" ca="1" si="149"/>
        <v>0</v>
      </c>
      <c r="E411" s="70">
        <f t="shared" ca="1" si="150"/>
        <v>0</v>
      </c>
      <c r="F411" s="70">
        <f ca="1">IF(D411+Z411&lt;0.000001,0,IF(D411&lt;0.000001,F410,IF(OR(AE411=1,AND(K410&gt;0,入力設定!$B$8="返済額軽減型",入力設定!$B$11="翌月")),IF(C411=0,D411/MAX(1,E411),D411*(C411/12)/(1-(1+C411/12)^(-MAX(1,E411)))),F410)))</f>
        <v>0</v>
      </c>
      <c r="G411" s="70">
        <f t="shared" ca="1" si="132"/>
        <v>0</v>
      </c>
      <c r="H411" s="70">
        <f t="shared" ca="1" si="133"/>
        <v>0</v>
      </c>
      <c r="I411" s="70">
        <f t="shared" ca="1" si="134"/>
        <v>0</v>
      </c>
      <c r="J411" s="70">
        <f>SUMIFS(入力設定!$G$5:$G$24,入力設定!$F$5:$F$24,A411)</f>
        <v>0</v>
      </c>
      <c r="K411" s="70">
        <f t="shared" ca="1" si="135"/>
        <v>0</v>
      </c>
      <c r="L411" s="70">
        <f ca="1">IF(K411&gt;0,入力設定!$B$9,0)</f>
        <v>0</v>
      </c>
      <c r="M411" s="70">
        <f t="shared" ca="1" si="136"/>
        <v>0</v>
      </c>
      <c r="N411" s="70">
        <f ca="1">IF(M411+AA411&lt;0.000001,0,IF(AND(K411&gt;0,入力設定!$B$8="期間短縮型",AA411&lt;0.000001,F411&gt;M411*C411/12),MAX(1,MIN(E411-1,IF(C411=0,ROUNDUP(M411/F411,0),ROUNDUP(-LN(1-M411*(C411/12)/F411)/LN(1+C411/12),0)))),MAX(1,E411-1)))</f>
        <v>0</v>
      </c>
      <c r="O411" s="70">
        <f t="shared" ca="1" si="137"/>
        <v>0</v>
      </c>
      <c r="P411" s="70">
        <f t="shared" ca="1" si="151"/>
        <v>2180125.719153794</v>
      </c>
      <c r="Q411" s="70">
        <f ca="1">IF(OR(A411&gt;入力設定!$B$6*12,P411+AC411&lt;0.000001),0,IF(P411&lt;0.000001,Q410,IF(AE411=1,IF(C411=0,P411/MAX(1,入力設定!$B$6*12-A411+1),P411*(C411/12)/(1-(1+C411/12)^(-MAX(1,入力設定!$B$6*12-A411+1)))),Q410)))</f>
        <v>150233.43899513123</v>
      </c>
      <c r="R411" s="70">
        <f ca="1">IF(P411+AC411&lt;0.000001,0,IF(A411=入力設定!$B$6*12,P411+AB411+AC411,MIN(Q411,P411+AB411+AC411)))</f>
        <v>150233.43899513123</v>
      </c>
      <c r="S411" s="70">
        <f t="shared" ca="1" si="138"/>
        <v>9083.8571631408086</v>
      </c>
      <c r="T411" s="70">
        <f t="shared" ca="1" si="139"/>
        <v>141149.58183199042</v>
      </c>
      <c r="U411" s="70">
        <f t="shared" ca="1" si="140"/>
        <v>2038976.1373218035</v>
      </c>
      <c r="V411" s="70">
        <f t="shared" ca="1" si="141"/>
        <v>0</v>
      </c>
      <c r="W411" s="70">
        <f t="shared" ca="1" si="142"/>
        <v>0</v>
      </c>
      <c r="X411" s="70">
        <f t="shared" ca="1" si="143"/>
        <v>0</v>
      </c>
      <c r="Y411" s="71">
        <f t="shared" ca="1" si="144"/>
        <v>0</v>
      </c>
      <c r="Z411" s="71">
        <f t="shared" ca="1" si="152"/>
        <v>0</v>
      </c>
      <c r="AA411" s="71">
        <f t="shared" ca="1" si="145"/>
        <v>0</v>
      </c>
      <c r="AB411" s="71">
        <f t="shared" ca="1" si="146"/>
        <v>9083.8571631408086</v>
      </c>
      <c r="AC411" s="71">
        <f t="shared" ca="1" si="153"/>
        <v>0</v>
      </c>
      <c r="AD411" s="71">
        <f t="shared" ca="1" si="147"/>
        <v>0</v>
      </c>
      <c r="AE411" s="72">
        <f t="shared" si="148"/>
        <v>0</v>
      </c>
      <c r="AF411" s="73">
        <f>IF(A411&gt;入力設定!$B$6*12,0,IF(AND(ISNUMBER(C411),C411&gt;=0,C411&lt;=1),0,1))</f>
        <v>0</v>
      </c>
    </row>
    <row r="412" spans="1:32" ht="21" customHeight="1">
      <c r="A412" s="68">
        <f>407</f>
        <v>407</v>
      </c>
      <c r="B412" s="69">
        <f>EDATE(入力設定!$B$7,A412-1)</f>
        <v>58685</v>
      </c>
      <c r="C412" s="80">
        <f>INDEX(入力設定!$C$15:$C$24,INT((A412-1)/60)+1)</f>
        <v>0.05</v>
      </c>
      <c r="D412" s="70">
        <f t="shared" ca="1" si="149"/>
        <v>0</v>
      </c>
      <c r="E412" s="70">
        <f t="shared" ca="1" si="150"/>
        <v>0</v>
      </c>
      <c r="F412" s="70">
        <f ca="1">IF(D412+Z412&lt;0.000001,0,IF(D412&lt;0.000001,F411,IF(OR(AE412=1,AND(K411&gt;0,入力設定!$B$8="返済額軽減型",入力設定!$B$11="翌月")),IF(C412=0,D412/MAX(1,E412),D412*(C412/12)/(1-(1+C412/12)^(-MAX(1,E412)))),F411)))</f>
        <v>0</v>
      </c>
      <c r="G412" s="70">
        <f t="shared" ca="1" si="132"/>
        <v>0</v>
      </c>
      <c r="H412" s="70">
        <f t="shared" ca="1" si="133"/>
        <v>0</v>
      </c>
      <c r="I412" s="70">
        <f t="shared" ca="1" si="134"/>
        <v>0</v>
      </c>
      <c r="J412" s="70">
        <f>SUMIFS(入力設定!$G$5:$G$24,入力設定!$F$5:$F$24,A412)</f>
        <v>0</v>
      </c>
      <c r="K412" s="70">
        <f t="shared" ca="1" si="135"/>
        <v>0</v>
      </c>
      <c r="L412" s="70">
        <f ca="1">IF(K412&gt;0,入力設定!$B$9,0)</f>
        <v>0</v>
      </c>
      <c r="M412" s="70">
        <f t="shared" ca="1" si="136"/>
        <v>0</v>
      </c>
      <c r="N412" s="70">
        <f ca="1">IF(M412+AA412&lt;0.000001,0,IF(AND(K412&gt;0,入力設定!$B$8="期間短縮型",AA412&lt;0.000001,F412&gt;M412*C412/12),MAX(1,MIN(E412-1,IF(C412=0,ROUNDUP(M412/F412,0),ROUNDUP(-LN(1-M412*(C412/12)/F412)/LN(1+C412/12),0)))),MAX(1,E412-1)))</f>
        <v>0</v>
      </c>
      <c r="O412" s="70">
        <f t="shared" ca="1" si="137"/>
        <v>0</v>
      </c>
      <c r="P412" s="70">
        <f t="shared" ca="1" si="151"/>
        <v>2038976.1373218035</v>
      </c>
      <c r="Q412" s="70">
        <f ca="1">IF(OR(A412&gt;入力設定!$B$6*12,P412+AC412&lt;0.000001),0,IF(P412&lt;0.000001,Q411,IF(AE412=1,IF(C412=0,P412/MAX(1,入力設定!$B$6*12-A412+1),P412*(C412/12)/(1-(1+C412/12)^(-MAX(1,入力設定!$B$6*12-A412+1)))),Q411)))</f>
        <v>150233.43899513123</v>
      </c>
      <c r="R412" s="70">
        <f ca="1">IF(P412+AC412&lt;0.000001,0,IF(A412=入力設定!$B$6*12,P412+AB412+AC412,MIN(Q412,P412+AB412+AC412)))</f>
        <v>150233.43899513123</v>
      </c>
      <c r="S412" s="70">
        <f t="shared" ca="1" si="138"/>
        <v>8495.7339055075154</v>
      </c>
      <c r="T412" s="70">
        <f t="shared" ca="1" si="139"/>
        <v>141737.70508962372</v>
      </c>
      <c r="U412" s="70">
        <f t="shared" ca="1" si="140"/>
        <v>1897238.4322321797</v>
      </c>
      <c r="V412" s="70">
        <f t="shared" ca="1" si="141"/>
        <v>0</v>
      </c>
      <c r="W412" s="70">
        <f t="shared" ca="1" si="142"/>
        <v>0</v>
      </c>
      <c r="X412" s="70">
        <f t="shared" ca="1" si="143"/>
        <v>0</v>
      </c>
      <c r="Y412" s="71">
        <f t="shared" ca="1" si="144"/>
        <v>0</v>
      </c>
      <c r="Z412" s="71">
        <f t="shared" ca="1" si="152"/>
        <v>0</v>
      </c>
      <c r="AA412" s="71">
        <f t="shared" ca="1" si="145"/>
        <v>0</v>
      </c>
      <c r="AB412" s="71">
        <f t="shared" ca="1" si="146"/>
        <v>8495.7339055075154</v>
      </c>
      <c r="AC412" s="71">
        <f t="shared" ca="1" si="153"/>
        <v>0</v>
      </c>
      <c r="AD412" s="71">
        <f t="shared" ca="1" si="147"/>
        <v>0</v>
      </c>
      <c r="AE412" s="72">
        <f t="shared" si="148"/>
        <v>0</v>
      </c>
      <c r="AF412" s="73">
        <f>IF(A412&gt;入力設定!$B$6*12,0,IF(AND(ISNUMBER(C412),C412&gt;=0,C412&lt;=1),0,1))</f>
        <v>0</v>
      </c>
    </row>
    <row r="413" spans="1:32" ht="21" customHeight="1">
      <c r="A413" s="68">
        <f>408</f>
        <v>408</v>
      </c>
      <c r="B413" s="69">
        <f>EDATE(入力設定!$B$7,A413-1)</f>
        <v>58715</v>
      </c>
      <c r="C413" s="80">
        <f>INDEX(入力設定!$C$15:$C$24,INT((A413-1)/60)+1)</f>
        <v>0.05</v>
      </c>
      <c r="D413" s="70">
        <f t="shared" ca="1" si="149"/>
        <v>0</v>
      </c>
      <c r="E413" s="70">
        <f t="shared" ca="1" si="150"/>
        <v>0</v>
      </c>
      <c r="F413" s="70">
        <f ca="1">IF(D413+Z413&lt;0.000001,0,IF(D413&lt;0.000001,F412,IF(OR(AE413=1,AND(K412&gt;0,入力設定!$B$8="返済額軽減型",入力設定!$B$11="翌月")),IF(C413=0,D413/MAX(1,E413),D413*(C413/12)/(1-(1+C413/12)^(-MAX(1,E413)))),F412)))</f>
        <v>0</v>
      </c>
      <c r="G413" s="70">
        <f t="shared" ca="1" si="132"/>
        <v>0</v>
      </c>
      <c r="H413" s="70">
        <f t="shared" ca="1" si="133"/>
        <v>0</v>
      </c>
      <c r="I413" s="70">
        <f t="shared" ca="1" si="134"/>
        <v>0</v>
      </c>
      <c r="J413" s="70">
        <f>SUMIFS(入力設定!$G$5:$G$24,入力設定!$F$5:$F$24,A413)</f>
        <v>0</v>
      </c>
      <c r="K413" s="70">
        <f t="shared" ca="1" si="135"/>
        <v>0</v>
      </c>
      <c r="L413" s="70">
        <f ca="1">IF(K413&gt;0,入力設定!$B$9,0)</f>
        <v>0</v>
      </c>
      <c r="M413" s="70">
        <f t="shared" ca="1" si="136"/>
        <v>0</v>
      </c>
      <c r="N413" s="70">
        <f ca="1">IF(M413+AA413&lt;0.000001,0,IF(AND(K413&gt;0,入力設定!$B$8="期間短縮型",AA413&lt;0.000001,F413&gt;M413*C413/12),MAX(1,MIN(E413-1,IF(C413=0,ROUNDUP(M413/F413,0),ROUNDUP(-LN(1-M413*(C413/12)/F413)/LN(1+C413/12),0)))),MAX(1,E413-1)))</f>
        <v>0</v>
      </c>
      <c r="O413" s="70">
        <f t="shared" ca="1" si="137"/>
        <v>0</v>
      </c>
      <c r="P413" s="70">
        <f t="shared" ca="1" si="151"/>
        <v>1897238.4322321797</v>
      </c>
      <c r="Q413" s="70">
        <f ca="1">IF(OR(A413&gt;入力設定!$B$6*12,P413+AC413&lt;0.000001),0,IF(P413&lt;0.000001,Q412,IF(AE413=1,IF(C413=0,P413/MAX(1,入力設定!$B$6*12-A413+1),P413*(C413/12)/(1-(1+C413/12)^(-MAX(1,入力設定!$B$6*12-A413+1)))),Q412)))</f>
        <v>150233.43899513123</v>
      </c>
      <c r="R413" s="70">
        <f ca="1">IF(P413+AC413&lt;0.000001,0,IF(A413=入力設定!$B$6*12,P413+AB413+AC413,MIN(Q413,P413+AB413+AC413)))</f>
        <v>150233.43899513123</v>
      </c>
      <c r="S413" s="70">
        <f t="shared" ca="1" si="138"/>
        <v>7905.1601343007496</v>
      </c>
      <c r="T413" s="70">
        <f t="shared" ca="1" si="139"/>
        <v>142328.27886083047</v>
      </c>
      <c r="U413" s="70">
        <f t="shared" ca="1" si="140"/>
        <v>1754910.1533713492</v>
      </c>
      <c r="V413" s="70">
        <f t="shared" ca="1" si="141"/>
        <v>0</v>
      </c>
      <c r="W413" s="70">
        <f t="shared" ca="1" si="142"/>
        <v>0</v>
      </c>
      <c r="X413" s="70">
        <f t="shared" ca="1" si="143"/>
        <v>0</v>
      </c>
      <c r="Y413" s="71">
        <f t="shared" ca="1" si="144"/>
        <v>0</v>
      </c>
      <c r="Z413" s="71">
        <f t="shared" ca="1" si="152"/>
        <v>0</v>
      </c>
      <c r="AA413" s="71">
        <f t="shared" ca="1" si="145"/>
        <v>0</v>
      </c>
      <c r="AB413" s="71">
        <f t="shared" ca="1" si="146"/>
        <v>7905.1601343007496</v>
      </c>
      <c r="AC413" s="71">
        <f t="shared" ca="1" si="153"/>
        <v>0</v>
      </c>
      <c r="AD413" s="71">
        <f t="shared" ca="1" si="147"/>
        <v>0</v>
      </c>
      <c r="AE413" s="72">
        <f t="shared" si="148"/>
        <v>0</v>
      </c>
      <c r="AF413" s="73">
        <f>IF(A413&gt;入力設定!$B$6*12,0,IF(AND(ISNUMBER(C413),C413&gt;=0,C413&lt;=1),0,1))</f>
        <v>0</v>
      </c>
    </row>
    <row r="414" spans="1:32" ht="21" customHeight="1">
      <c r="A414" s="68">
        <f>409</f>
        <v>409</v>
      </c>
      <c r="B414" s="69">
        <f>EDATE(入力設定!$B$7,A414-1)</f>
        <v>58746</v>
      </c>
      <c r="C414" s="80">
        <f>INDEX(入力設定!$C$15:$C$24,INT((A414-1)/60)+1)</f>
        <v>0.05</v>
      </c>
      <c r="D414" s="70">
        <f t="shared" ca="1" si="149"/>
        <v>0</v>
      </c>
      <c r="E414" s="70">
        <f t="shared" ca="1" si="150"/>
        <v>0</v>
      </c>
      <c r="F414" s="70">
        <f ca="1">IF(D414+Z414&lt;0.000001,0,IF(D414&lt;0.000001,F413,IF(OR(AE414=1,AND(K413&gt;0,入力設定!$B$8="返済額軽減型",入力設定!$B$11="翌月")),IF(C414=0,D414/MAX(1,E414),D414*(C414/12)/(1-(1+C414/12)^(-MAX(1,E414)))),F413)))</f>
        <v>0</v>
      </c>
      <c r="G414" s="70">
        <f t="shared" ca="1" si="132"/>
        <v>0</v>
      </c>
      <c r="H414" s="70">
        <f t="shared" ca="1" si="133"/>
        <v>0</v>
      </c>
      <c r="I414" s="70">
        <f t="shared" ca="1" si="134"/>
        <v>0</v>
      </c>
      <c r="J414" s="70">
        <f>SUMIFS(入力設定!$G$5:$G$24,入力設定!$F$5:$F$24,A414)</f>
        <v>0</v>
      </c>
      <c r="K414" s="70">
        <f t="shared" ca="1" si="135"/>
        <v>0</v>
      </c>
      <c r="L414" s="70">
        <f ca="1">IF(K414&gt;0,入力設定!$B$9,0)</f>
        <v>0</v>
      </c>
      <c r="M414" s="70">
        <f t="shared" ca="1" si="136"/>
        <v>0</v>
      </c>
      <c r="N414" s="70">
        <f ca="1">IF(M414+AA414&lt;0.000001,0,IF(AND(K414&gt;0,入力設定!$B$8="期間短縮型",AA414&lt;0.000001,F414&gt;M414*C414/12),MAX(1,MIN(E414-1,IF(C414=0,ROUNDUP(M414/F414,0),ROUNDUP(-LN(1-M414*(C414/12)/F414)/LN(1+C414/12),0)))),MAX(1,E414-1)))</f>
        <v>0</v>
      </c>
      <c r="O414" s="70">
        <f t="shared" ca="1" si="137"/>
        <v>0</v>
      </c>
      <c r="P414" s="70">
        <f t="shared" ca="1" si="151"/>
        <v>1754910.1533713492</v>
      </c>
      <c r="Q414" s="70">
        <f ca="1">IF(OR(A414&gt;入力設定!$B$6*12,P414+AC414&lt;0.000001),0,IF(P414&lt;0.000001,Q413,IF(AE414=1,IF(C414=0,P414/MAX(1,入力設定!$B$6*12-A414+1),P414*(C414/12)/(1-(1+C414/12)^(-MAX(1,入力設定!$B$6*12-A414+1)))),Q413)))</f>
        <v>150233.43899513123</v>
      </c>
      <c r="R414" s="70">
        <f ca="1">IF(P414+AC414&lt;0.000001,0,IF(A414=入力設定!$B$6*12,P414+AB414+AC414,MIN(Q414,P414+AB414+AC414)))</f>
        <v>150233.43899513123</v>
      </c>
      <c r="S414" s="70">
        <f t="shared" ca="1" si="138"/>
        <v>7312.125639047289</v>
      </c>
      <c r="T414" s="70">
        <f t="shared" ca="1" si="139"/>
        <v>142921.31335608393</v>
      </c>
      <c r="U414" s="70">
        <f t="shared" ca="1" si="140"/>
        <v>1611988.8400152652</v>
      </c>
      <c r="V414" s="70">
        <f t="shared" ca="1" si="141"/>
        <v>0</v>
      </c>
      <c r="W414" s="70">
        <f t="shared" ca="1" si="142"/>
        <v>0</v>
      </c>
      <c r="X414" s="70">
        <f t="shared" ca="1" si="143"/>
        <v>0</v>
      </c>
      <c r="Y414" s="71">
        <f t="shared" ca="1" si="144"/>
        <v>0</v>
      </c>
      <c r="Z414" s="71">
        <f t="shared" ca="1" si="152"/>
        <v>0</v>
      </c>
      <c r="AA414" s="71">
        <f t="shared" ca="1" si="145"/>
        <v>0</v>
      </c>
      <c r="AB414" s="71">
        <f t="shared" ca="1" si="146"/>
        <v>7312.125639047289</v>
      </c>
      <c r="AC414" s="71">
        <f t="shared" ca="1" si="153"/>
        <v>0</v>
      </c>
      <c r="AD414" s="71">
        <f t="shared" ca="1" si="147"/>
        <v>0</v>
      </c>
      <c r="AE414" s="72">
        <f t="shared" si="148"/>
        <v>0</v>
      </c>
      <c r="AF414" s="73">
        <f>IF(A414&gt;入力設定!$B$6*12,0,IF(AND(ISNUMBER(C414),C414&gt;=0,C414&lt;=1),0,1))</f>
        <v>0</v>
      </c>
    </row>
    <row r="415" spans="1:32" ht="21" customHeight="1">
      <c r="A415" s="68">
        <f>410</f>
        <v>410</v>
      </c>
      <c r="B415" s="69">
        <f>EDATE(入力設定!$B$7,A415-1)</f>
        <v>58776</v>
      </c>
      <c r="C415" s="80">
        <f>INDEX(入力設定!$C$15:$C$24,INT((A415-1)/60)+1)</f>
        <v>0.05</v>
      </c>
      <c r="D415" s="70">
        <f t="shared" ca="1" si="149"/>
        <v>0</v>
      </c>
      <c r="E415" s="70">
        <f t="shared" ca="1" si="150"/>
        <v>0</v>
      </c>
      <c r="F415" s="70">
        <f ca="1">IF(D415+Z415&lt;0.000001,0,IF(D415&lt;0.000001,F414,IF(OR(AE415=1,AND(K414&gt;0,入力設定!$B$8="返済額軽減型",入力設定!$B$11="翌月")),IF(C415=0,D415/MAX(1,E415),D415*(C415/12)/(1-(1+C415/12)^(-MAX(1,E415)))),F414)))</f>
        <v>0</v>
      </c>
      <c r="G415" s="70">
        <f t="shared" ca="1" si="132"/>
        <v>0</v>
      </c>
      <c r="H415" s="70">
        <f t="shared" ca="1" si="133"/>
        <v>0</v>
      </c>
      <c r="I415" s="70">
        <f t="shared" ca="1" si="134"/>
        <v>0</v>
      </c>
      <c r="J415" s="70">
        <f>SUMIFS(入力設定!$G$5:$G$24,入力設定!$F$5:$F$24,A415)</f>
        <v>0</v>
      </c>
      <c r="K415" s="70">
        <f t="shared" ca="1" si="135"/>
        <v>0</v>
      </c>
      <c r="L415" s="70">
        <f ca="1">IF(K415&gt;0,入力設定!$B$9,0)</f>
        <v>0</v>
      </c>
      <c r="M415" s="70">
        <f t="shared" ca="1" si="136"/>
        <v>0</v>
      </c>
      <c r="N415" s="70">
        <f ca="1">IF(M415+AA415&lt;0.000001,0,IF(AND(K415&gt;0,入力設定!$B$8="期間短縮型",AA415&lt;0.000001,F415&gt;M415*C415/12),MAX(1,MIN(E415-1,IF(C415=0,ROUNDUP(M415/F415,0),ROUNDUP(-LN(1-M415*(C415/12)/F415)/LN(1+C415/12),0)))),MAX(1,E415-1)))</f>
        <v>0</v>
      </c>
      <c r="O415" s="70">
        <f t="shared" ca="1" si="137"/>
        <v>0</v>
      </c>
      <c r="P415" s="70">
        <f t="shared" ca="1" si="151"/>
        <v>1611988.8400152652</v>
      </c>
      <c r="Q415" s="70">
        <f ca="1">IF(OR(A415&gt;入力設定!$B$6*12,P415+AC415&lt;0.000001),0,IF(P415&lt;0.000001,Q414,IF(AE415=1,IF(C415=0,P415/MAX(1,入力設定!$B$6*12-A415+1),P415*(C415/12)/(1-(1+C415/12)^(-MAX(1,入力設定!$B$6*12-A415+1)))),Q414)))</f>
        <v>150233.43899513123</v>
      </c>
      <c r="R415" s="70">
        <f ca="1">IF(P415+AC415&lt;0.000001,0,IF(A415=入力設定!$B$6*12,P415+AB415+AC415,MIN(Q415,P415+AB415+AC415)))</f>
        <v>150233.43899513123</v>
      </c>
      <c r="S415" s="70">
        <f t="shared" ca="1" si="138"/>
        <v>6716.6201667302712</v>
      </c>
      <c r="T415" s="70">
        <f t="shared" ca="1" si="139"/>
        <v>143516.81882840095</v>
      </c>
      <c r="U415" s="70">
        <f t="shared" ca="1" si="140"/>
        <v>1468472.0211868642</v>
      </c>
      <c r="V415" s="70">
        <f t="shared" ca="1" si="141"/>
        <v>0</v>
      </c>
      <c r="W415" s="70">
        <f t="shared" ca="1" si="142"/>
        <v>0</v>
      </c>
      <c r="X415" s="70">
        <f t="shared" ca="1" si="143"/>
        <v>0</v>
      </c>
      <c r="Y415" s="71">
        <f t="shared" ca="1" si="144"/>
        <v>0</v>
      </c>
      <c r="Z415" s="71">
        <f t="shared" ca="1" si="152"/>
        <v>0</v>
      </c>
      <c r="AA415" s="71">
        <f t="shared" ca="1" si="145"/>
        <v>0</v>
      </c>
      <c r="AB415" s="71">
        <f t="shared" ca="1" si="146"/>
        <v>6716.6201667302712</v>
      </c>
      <c r="AC415" s="71">
        <f t="shared" ca="1" si="153"/>
        <v>0</v>
      </c>
      <c r="AD415" s="71">
        <f t="shared" ca="1" si="147"/>
        <v>0</v>
      </c>
      <c r="AE415" s="72">
        <f t="shared" si="148"/>
        <v>0</v>
      </c>
      <c r="AF415" s="73">
        <f>IF(A415&gt;入力設定!$B$6*12,0,IF(AND(ISNUMBER(C415),C415&gt;=0,C415&lt;=1),0,1))</f>
        <v>0</v>
      </c>
    </row>
    <row r="416" spans="1:32" ht="21" customHeight="1">
      <c r="A416" s="68">
        <f>411</f>
        <v>411</v>
      </c>
      <c r="B416" s="69">
        <f>EDATE(入力設定!$B$7,A416-1)</f>
        <v>58807</v>
      </c>
      <c r="C416" s="80">
        <f>INDEX(入力設定!$C$15:$C$24,INT((A416-1)/60)+1)</f>
        <v>0.05</v>
      </c>
      <c r="D416" s="70">
        <f t="shared" ca="1" si="149"/>
        <v>0</v>
      </c>
      <c r="E416" s="70">
        <f t="shared" ca="1" si="150"/>
        <v>0</v>
      </c>
      <c r="F416" s="70">
        <f ca="1">IF(D416+Z416&lt;0.000001,0,IF(D416&lt;0.000001,F415,IF(OR(AE416=1,AND(K415&gt;0,入力設定!$B$8="返済額軽減型",入力設定!$B$11="翌月")),IF(C416=0,D416/MAX(1,E416),D416*(C416/12)/(1-(1+C416/12)^(-MAX(1,E416)))),F415)))</f>
        <v>0</v>
      </c>
      <c r="G416" s="70">
        <f t="shared" ca="1" si="132"/>
        <v>0</v>
      </c>
      <c r="H416" s="70">
        <f t="shared" ca="1" si="133"/>
        <v>0</v>
      </c>
      <c r="I416" s="70">
        <f t="shared" ca="1" si="134"/>
        <v>0</v>
      </c>
      <c r="J416" s="70">
        <f>SUMIFS(入力設定!$G$5:$G$24,入力設定!$F$5:$F$24,A416)</f>
        <v>0</v>
      </c>
      <c r="K416" s="70">
        <f t="shared" ca="1" si="135"/>
        <v>0</v>
      </c>
      <c r="L416" s="70">
        <f ca="1">IF(K416&gt;0,入力設定!$B$9,0)</f>
        <v>0</v>
      </c>
      <c r="M416" s="70">
        <f t="shared" ca="1" si="136"/>
        <v>0</v>
      </c>
      <c r="N416" s="70">
        <f ca="1">IF(M416+AA416&lt;0.000001,0,IF(AND(K416&gt;0,入力設定!$B$8="期間短縮型",AA416&lt;0.000001,F416&gt;M416*C416/12),MAX(1,MIN(E416-1,IF(C416=0,ROUNDUP(M416/F416,0),ROUNDUP(-LN(1-M416*(C416/12)/F416)/LN(1+C416/12),0)))),MAX(1,E416-1)))</f>
        <v>0</v>
      </c>
      <c r="O416" s="70">
        <f t="shared" ca="1" si="137"/>
        <v>0</v>
      </c>
      <c r="P416" s="70">
        <f t="shared" ca="1" si="151"/>
        <v>1468472.0211868642</v>
      </c>
      <c r="Q416" s="70">
        <f ca="1">IF(OR(A416&gt;入力設定!$B$6*12,P416+AC416&lt;0.000001),0,IF(P416&lt;0.000001,Q415,IF(AE416=1,IF(C416=0,P416/MAX(1,入力設定!$B$6*12-A416+1),P416*(C416/12)/(1-(1+C416/12)^(-MAX(1,入力設定!$B$6*12-A416+1)))),Q415)))</f>
        <v>150233.43899513123</v>
      </c>
      <c r="R416" s="70">
        <f ca="1">IF(P416+AC416&lt;0.000001,0,IF(A416=入力設定!$B$6*12,P416+AB416+AC416,MIN(Q416,P416+AB416+AC416)))</f>
        <v>150233.43899513123</v>
      </c>
      <c r="S416" s="70">
        <f t="shared" ca="1" si="138"/>
        <v>6118.6334216119349</v>
      </c>
      <c r="T416" s="70">
        <f t="shared" ca="1" si="139"/>
        <v>144114.80557351929</v>
      </c>
      <c r="U416" s="70">
        <f t="shared" ca="1" si="140"/>
        <v>1324357.2156133449</v>
      </c>
      <c r="V416" s="70">
        <f t="shared" ca="1" si="141"/>
        <v>0</v>
      </c>
      <c r="W416" s="70">
        <f t="shared" ca="1" si="142"/>
        <v>0</v>
      </c>
      <c r="X416" s="70">
        <f t="shared" ca="1" si="143"/>
        <v>0</v>
      </c>
      <c r="Y416" s="71">
        <f t="shared" ca="1" si="144"/>
        <v>0</v>
      </c>
      <c r="Z416" s="71">
        <f t="shared" ca="1" si="152"/>
        <v>0</v>
      </c>
      <c r="AA416" s="71">
        <f t="shared" ca="1" si="145"/>
        <v>0</v>
      </c>
      <c r="AB416" s="71">
        <f t="shared" ca="1" si="146"/>
        <v>6118.6334216119349</v>
      </c>
      <c r="AC416" s="71">
        <f t="shared" ca="1" si="153"/>
        <v>0</v>
      </c>
      <c r="AD416" s="71">
        <f t="shared" ca="1" si="147"/>
        <v>0</v>
      </c>
      <c r="AE416" s="72">
        <f t="shared" si="148"/>
        <v>0</v>
      </c>
      <c r="AF416" s="73">
        <f>IF(A416&gt;入力設定!$B$6*12,0,IF(AND(ISNUMBER(C416),C416&gt;=0,C416&lt;=1),0,1))</f>
        <v>0</v>
      </c>
    </row>
    <row r="417" spans="1:32" ht="21" customHeight="1">
      <c r="A417" s="68">
        <f>412</f>
        <v>412</v>
      </c>
      <c r="B417" s="69">
        <f>EDATE(入力設定!$B$7,A417-1)</f>
        <v>58838</v>
      </c>
      <c r="C417" s="80">
        <f>INDEX(入力設定!$C$15:$C$24,INT((A417-1)/60)+1)</f>
        <v>0.05</v>
      </c>
      <c r="D417" s="70">
        <f t="shared" ca="1" si="149"/>
        <v>0</v>
      </c>
      <c r="E417" s="70">
        <f t="shared" ca="1" si="150"/>
        <v>0</v>
      </c>
      <c r="F417" s="70">
        <f ca="1">IF(D417+Z417&lt;0.000001,0,IF(D417&lt;0.000001,F416,IF(OR(AE417=1,AND(K416&gt;0,入力設定!$B$8="返済額軽減型",入力設定!$B$11="翌月")),IF(C417=0,D417/MAX(1,E417),D417*(C417/12)/(1-(1+C417/12)^(-MAX(1,E417)))),F416)))</f>
        <v>0</v>
      </c>
      <c r="G417" s="70">
        <f t="shared" ca="1" si="132"/>
        <v>0</v>
      </c>
      <c r="H417" s="70">
        <f t="shared" ca="1" si="133"/>
        <v>0</v>
      </c>
      <c r="I417" s="70">
        <f t="shared" ca="1" si="134"/>
        <v>0</v>
      </c>
      <c r="J417" s="70">
        <f>SUMIFS(入力設定!$G$5:$G$24,入力設定!$F$5:$F$24,A417)</f>
        <v>0</v>
      </c>
      <c r="K417" s="70">
        <f t="shared" ca="1" si="135"/>
        <v>0</v>
      </c>
      <c r="L417" s="70">
        <f ca="1">IF(K417&gt;0,入力設定!$B$9,0)</f>
        <v>0</v>
      </c>
      <c r="M417" s="70">
        <f t="shared" ca="1" si="136"/>
        <v>0</v>
      </c>
      <c r="N417" s="70">
        <f ca="1">IF(M417+AA417&lt;0.000001,0,IF(AND(K417&gt;0,入力設定!$B$8="期間短縮型",AA417&lt;0.000001,F417&gt;M417*C417/12),MAX(1,MIN(E417-1,IF(C417=0,ROUNDUP(M417/F417,0),ROUNDUP(-LN(1-M417*(C417/12)/F417)/LN(1+C417/12),0)))),MAX(1,E417-1)))</f>
        <v>0</v>
      </c>
      <c r="O417" s="70">
        <f t="shared" ca="1" si="137"/>
        <v>0</v>
      </c>
      <c r="P417" s="70">
        <f t="shared" ca="1" si="151"/>
        <v>1324357.2156133449</v>
      </c>
      <c r="Q417" s="70">
        <f ca="1">IF(OR(A417&gt;入力設定!$B$6*12,P417+AC417&lt;0.000001),0,IF(P417&lt;0.000001,Q416,IF(AE417=1,IF(C417=0,P417/MAX(1,入力設定!$B$6*12-A417+1),P417*(C417/12)/(1-(1+C417/12)^(-MAX(1,入力設定!$B$6*12-A417+1)))),Q416)))</f>
        <v>150233.43899513123</v>
      </c>
      <c r="R417" s="70">
        <f ca="1">IF(P417+AC417&lt;0.000001,0,IF(A417=入力設定!$B$6*12,P417+AB417+AC417,MIN(Q417,P417+AB417+AC417)))</f>
        <v>150233.43899513123</v>
      </c>
      <c r="S417" s="70">
        <f t="shared" ca="1" si="138"/>
        <v>5518.1550650556046</v>
      </c>
      <c r="T417" s="70">
        <f t="shared" ca="1" si="139"/>
        <v>144715.28393007562</v>
      </c>
      <c r="U417" s="70">
        <f t="shared" ca="1" si="140"/>
        <v>1179641.9316832693</v>
      </c>
      <c r="V417" s="70">
        <f t="shared" ca="1" si="141"/>
        <v>0</v>
      </c>
      <c r="W417" s="70">
        <f t="shared" ca="1" si="142"/>
        <v>0</v>
      </c>
      <c r="X417" s="70">
        <f t="shared" ca="1" si="143"/>
        <v>0</v>
      </c>
      <c r="Y417" s="71">
        <f t="shared" ca="1" si="144"/>
        <v>0</v>
      </c>
      <c r="Z417" s="71">
        <f t="shared" ca="1" si="152"/>
        <v>0</v>
      </c>
      <c r="AA417" s="71">
        <f t="shared" ca="1" si="145"/>
        <v>0</v>
      </c>
      <c r="AB417" s="71">
        <f t="shared" ca="1" si="146"/>
        <v>5518.1550650556046</v>
      </c>
      <c r="AC417" s="71">
        <f t="shared" ca="1" si="153"/>
        <v>0</v>
      </c>
      <c r="AD417" s="71">
        <f t="shared" ca="1" si="147"/>
        <v>0</v>
      </c>
      <c r="AE417" s="72">
        <f t="shared" si="148"/>
        <v>0</v>
      </c>
      <c r="AF417" s="73">
        <f>IF(A417&gt;入力設定!$B$6*12,0,IF(AND(ISNUMBER(C417),C417&gt;=0,C417&lt;=1),0,1))</f>
        <v>0</v>
      </c>
    </row>
    <row r="418" spans="1:32" ht="21" customHeight="1">
      <c r="A418" s="68">
        <f>413</f>
        <v>413</v>
      </c>
      <c r="B418" s="69">
        <f>EDATE(入力設定!$B$7,A418-1)</f>
        <v>58866</v>
      </c>
      <c r="C418" s="80">
        <f>INDEX(入力設定!$C$15:$C$24,INT((A418-1)/60)+1)</f>
        <v>0.05</v>
      </c>
      <c r="D418" s="70">
        <f t="shared" ca="1" si="149"/>
        <v>0</v>
      </c>
      <c r="E418" s="70">
        <f t="shared" ca="1" si="150"/>
        <v>0</v>
      </c>
      <c r="F418" s="70">
        <f ca="1">IF(D418+Z418&lt;0.000001,0,IF(D418&lt;0.000001,F417,IF(OR(AE418=1,AND(K417&gt;0,入力設定!$B$8="返済額軽減型",入力設定!$B$11="翌月")),IF(C418=0,D418/MAX(1,E418),D418*(C418/12)/(1-(1+C418/12)^(-MAX(1,E418)))),F417)))</f>
        <v>0</v>
      </c>
      <c r="G418" s="70">
        <f t="shared" ca="1" si="132"/>
        <v>0</v>
      </c>
      <c r="H418" s="70">
        <f t="shared" ca="1" si="133"/>
        <v>0</v>
      </c>
      <c r="I418" s="70">
        <f t="shared" ca="1" si="134"/>
        <v>0</v>
      </c>
      <c r="J418" s="70">
        <f>SUMIFS(入力設定!$G$5:$G$24,入力設定!$F$5:$F$24,A418)</f>
        <v>0</v>
      </c>
      <c r="K418" s="70">
        <f t="shared" ca="1" si="135"/>
        <v>0</v>
      </c>
      <c r="L418" s="70">
        <f ca="1">IF(K418&gt;0,入力設定!$B$9,0)</f>
        <v>0</v>
      </c>
      <c r="M418" s="70">
        <f t="shared" ca="1" si="136"/>
        <v>0</v>
      </c>
      <c r="N418" s="70">
        <f ca="1">IF(M418+AA418&lt;0.000001,0,IF(AND(K418&gt;0,入力設定!$B$8="期間短縮型",AA418&lt;0.000001,F418&gt;M418*C418/12),MAX(1,MIN(E418-1,IF(C418=0,ROUNDUP(M418/F418,0),ROUNDUP(-LN(1-M418*(C418/12)/F418)/LN(1+C418/12),0)))),MAX(1,E418-1)))</f>
        <v>0</v>
      </c>
      <c r="O418" s="70">
        <f t="shared" ca="1" si="137"/>
        <v>0</v>
      </c>
      <c r="P418" s="70">
        <f t="shared" ca="1" si="151"/>
        <v>1179641.9316832693</v>
      </c>
      <c r="Q418" s="70">
        <f ca="1">IF(OR(A418&gt;入力設定!$B$6*12,P418+AC418&lt;0.000001),0,IF(P418&lt;0.000001,Q417,IF(AE418=1,IF(C418=0,P418/MAX(1,入力設定!$B$6*12-A418+1),P418*(C418/12)/(1-(1+C418/12)^(-MAX(1,入力設定!$B$6*12-A418+1)))),Q417)))</f>
        <v>150233.43899513123</v>
      </c>
      <c r="R418" s="70">
        <f ca="1">IF(P418+AC418&lt;0.000001,0,IF(A418=入力設定!$B$6*12,P418+AB418+AC418,MIN(Q418,P418+AB418+AC418)))</f>
        <v>150233.43899513123</v>
      </c>
      <c r="S418" s="70">
        <f t="shared" ca="1" si="138"/>
        <v>4915.174715346956</v>
      </c>
      <c r="T418" s="70">
        <f t="shared" ca="1" si="139"/>
        <v>145318.26427978429</v>
      </c>
      <c r="U418" s="70">
        <f t="shared" ca="1" si="140"/>
        <v>1034323.667403485</v>
      </c>
      <c r="V418" s="70">
        <f t="shared" ca="1" si="141"/>
        <v>0</v>
      </c>
      <c r="W418" s="70">
        <f t="shared" ca="1" si="142"/>
        <v>0</v>
      </c>
      <c r="X418" s="70">
        <f t="shared" ca="1" si="143"/>
        <v>0</v>
      </c>
      <c r="Y418" s="71">
        <f t="shared" ca="1" si="144"/>
        <v>0</v>
      </c>
      <c r="Z418" s="71">
        <f t="shared" ca="1" si="152"/>
        <v>0</v>
      </c>
      <c r="AA418" s="71">
        <f t="shared" ca="1" si="145"/>
        <v>0</v>
      </c>
      <c r="AB418" s="71">
        <f t="shared" ca="1" si="146"/>
        <v>4915.174715346956</v>
      </c>
      <c r="AC418" s="71">
        <f t="shared" ca="1" si="153"/>
        <v>0</v>
      </c>
      <c r="AD418" s="71">
        <f t="shared" ca="1" si="147"/>
        <v>0</v>
      </c>
      <c r="AE418" s="72">
        <f t="shared" si="148"/>
        <v>0</v>
      </c>
      <c r="AF418" s="73">
        <f>IF(A418&gt;入力設定!$B$6*12,0,IF(AND(ISNUMBER(C418),C418&gt;=0,C418&lt;=1),0,1))</f>
        <v>0</v>
      </c>
    </row>
    <row r="419" spans="1:32" ht="21" customHeight="1">
      <c r="A419" s="68">
        <f>414</f>
        <v>414</v>
      </c>
      <c r="B419" s="69">
        <f>EDATE(入力設定!$B$7,A419-1)</f>
        <v>58897</v>
      </c>
      <c r="C419" s="80">
        <f>INDEX(入力設定!$C$15:$C$24,INT((A419-1)/60)+1)</f>
        <v>0.05</v>
      </c>
      <c r="D419" s="70">
        <f t="shared" ca="1" si="149"/>
        <v>0</v>
      </c>
      <c r="E419" s="70">
        <f t="shared" ca="1" si="150"/>
        <v>0</v>
      </c>
      <c r="F419" s="70">
        <f ca="1">IF(D419+Z419&lt;0.000001,0,IF(D419&lt;0.000001,F418,IF(OR(AE419=1,AND(K418&gt;0,入力設定!$B$8="返済額軽減型",入力設定!$B$11="翌月")),IF(C419=0,D419/MAX(1,E419),D419*(C419/12)/(1-(1+C419/12)^(-MAX(1,E419)))),F418)))</f>
        <v>0</v>
      </c>
      <c r="G419" s="70">
        <f t="shared" ca="1" si="132"/>
        <v>0</v>
      </c>
      <c r="H419" s="70">
        <f t="shared" ca="1" si="133"/>
        <v>0</v>
      </c>
      <c r="I419" s="70">
        <f t="shared" ca="1" si="134"/>
        <v>0</v>
      </c>
      <c r="J419" s="70">
        <f>SUMIFS(入力設定!$G$5:$G$24,入力設定!$F$5:$F$24,A419)</f>
        <v>0</v>
      </c>
      <c r="K419" s="70">
        <f t="shared" ca="1" si="135"/>
        <v>0</v>
      </c>
      <c r="L419" s="70">
        <f ca="1">IF(K419&gt;0,入力設定!$B$9,0)</f>
        <v>0</v>
      </c>
      <c r="M419" s="70">
        <f t="shared" ca="1" si="136"/>
        <v>0</v>
      </c>
      <c r="N419" s="70">
        <f ca="1">IF(M419+AA419&lt;0.000001,0,IF(AND(K419&gt;0,入力設定!$B$8="期間短縮型",AA419&lt;0.000001,F419&gt;M419*C419/12),MAX(1,MIN(E419-1,IF(C419=0,ROUNDUP(M419/F419,0),ROUNDUP(-LN(1-M419*(C419/12)/F419)/LN(1+C419/12),0)))),MAX(1,E419-1)))</f>
        <v>0</v>
      </c>
      <c r="O419" s="70">
        <f t="shared" ca="1" si="137"/>
        <v>0</v>
      </c>
      <c r="P419" s="70">
        <f t="shared" ca="1" si="151"/>
        <v>1034323.667403485</v>
      </c>
      <c r="Q419" s="70">
        <f ca="1">IF(OR(A419&gt;入力設定!$B$6*12,P419+AC419&lt;0.000001),0,IF(P419&lt;0.000001,Q418,IF(AE419=1,IF(C419=0,P419/MAX(1,入力設定!$B$6*12-A419+1),P419*(C419/12)/(1-(1+C419/12)^(-MAX(1,入力設定!$B$6*12-A419+1)))),Q418)))</f>
        <v>150233.43899513123</v>
      </c>
      <c r="R419" s="70">
        <f ca="1">IF(P419+AC419&lt;0.000001,0,IF(A419=入力設定!$B$6*12,P419+AB419+AC419,MIN(Q419,P419+AB419+AC419)))</f>
        <v>150233.43899513123</v>
      </c>
      <c r="S419" s="70">
        <f t="shared" ca="1" si="138"/>
        <v>4309.6819475145212</v>
      </c>
      <c r="T419" s="70">
        <f t="shared" ca="1" si="139"/>
        <v>145923.7570476167</v>
      </c>
      <c r="U419" s="70">
        <f t="shared" ca="1" si="140"/>
        <v>888399.91035586828</v>
      </c>
      <c r="V419" s="70">
        <f t="shared" ca="1" si="141"/>
        <v>0</v>
      </c>
      <c r="W419" s="70">
        <f t="shared" ca="1" si="142"/>
        <v>0</v>
      </c>
      <c r="X419" s="70">
        <f t="shared" ca="1" si="143"/>
        <v>0</v>
      </c>
      <c r="Y419" s="71">
        <f t="shared" ca="1" si="144"/>
        <v>0</v>
      </c>
      <c r="Z419" s="71">
        <f t="shared" ca="1" si="152"/>
        <v>0</v>
      </c>
      <c r="AA419" s="71">
        <f t="shared" ca="1" si="145"/>
        <v>0</v>
      </c>
      <c r="AB419" s="71">
        <f t="shared" ca="1" si="146"/>
        <v>4309.6819475145212</v>
      </c>
      <c r="AC419" s="71">
        <f t="shared" ca="1" si="153"/>
        <v>0</v>
      </c>
      <c r="AD419" s="71">
        <f t="shared" ca="1" si="147"/>
        <v>0</v>
      </c>
      <c r="AE419" s="72">
        <f t="shared" si="148"/>
        <v>0</v>
      </c>
      <c r="AF419" s="73">
        <f>IF(A419&gt;入力設定!$B$6*12,0,IF(AND(ISNUMBER(C419),C419&gt;=0,C419&lt;=1),0,1))</f>
        <v>0</v>
      </c>
    </row>
    <row r="420" spans="1:32" ht="21" customHeight="1">
      <c r="A420" s="68">
        <f>415</f>
        <v>415</v>
      </c>
      <c r="B420" s="69">
        <f>EDATE(入力設定!$B$7,A420-1)</f>
        <v>58927</v>
      </c>
      <c r="C420" s="80">
        <f>INDEX(入力設定!$C$15:$C$24,INT((A420-1)/60)+1)</f>
        <v>0.05</v>
      </c>
      <c r="D420" s="70">
        <f t="shared" ca="1" si="149"/>
        <v>0</v>
      </c>
      <c r="E420" s="70">
        <f t="shared" ca="1" si="150"/>
        <v>0</v>
      </c>
      <c r="F420" s="70">
        <f ca="1">IF(D420+Z420&lt;0.000001,0,IF(D420&lt;0.000001,F419,IF(OR(AE420=1,AND(K419&gt;0,入力設定!$B$8="返済額軽減型",入力設定!$B$11="翌月")),IF(C420=0,D420/MAX(1,E420),D420*(C420/12)/(1-(1+C420/12)^(-MAX(1,E420)))),F419)))</f>
        <v>0</v>
      </c>
      <c r="G420" s="70">
        <f t="shared" ca="1" si="132"/>
        <v>0</v>
      </c>
      <c r="H420" s="70">
        <f t="shared" ca="1" si="133"/>
        <v>0</v>
      </c>
      <c r="I420" s="70">
        <f t="shared" ca="1" si="134"/>
        <v>0</v>
      </c>
      <c r="J420" s="70">
        <f>SUMIFS(入力設定!$G$5:$G$24,入力設定!$F$5:$F$24,A420)</f>
        <v>0</v>
      </c>
      <c r="K420" s="70">
        <f t="shared" ca="1" si="135"/>
        <v>0</v>
      </c>
      <c r="L420" s="70">
        <f ca="1">IF(K420&gt;0,入力設定!$B$9,0)</f>
        <v>0</v>
      </c>
      <c r="M420" s="70">
        <f t="shared" ca="1" si="136"/>
        <v>0</v>
      </c>
      <c r="N420" s="70">
        <f ca="1">IF(M420+AA420&lt;0.000001,0,IF(AND(K420&gt;0,入力設定!$B$8="期間短縮型",AA420&lt;0.000001,F420&gt;M420*C420/12),MAX(1,MIN(E420-1,IF(C420=0,ROUNDUP(M420/F420,0),ROUNDUP(-LN(1-M420*(C420/12)/F420)/LN(1+C420/12),0)))),MAX(1,E420-1)))</f>
        <v>0</v>
      </c>
      <c r="O420" s="70">
        <f t="shared" ca="1" si="137"/>
        <v>0</v>
      </c>
      <c r="P420" s="70">
        <f t="shared" ca="1" si="151"/>
        <v>888399.91035586828</v>
      </c>
      <c r="Q420" s="70">
        <f ca="1">IF(OR(A420&gt;入力設定!$B$6*12,P420+AC420&lt;0.000001),0,IF(P420&lt;0.000001,Q419,IF(AE420=1,IF(C420=0,P420/MAX(1,入力設定!$B$6*12-A420+1),P420*(C420/12)/(1-(1+C420/12)^(-MAX(1,入力設定!$B$6*12-A420+1)))),Q419)))</f>
        <v>150233.43899513123</v>
      </c>
      <c r="R420" s="70">
        <f ca="1">IF(P420+AC420&lt;0.000001,0,IF(A420=入力設定!$B$6*12,P420+AB420+AC420,MIN(Q420,P420+AB420+AC420)))</f>
        <v>150233.43899513123</v>
      </c>
      <c r="S420" s="70">
        <f t="shared" ca="1" si="138"/>
        <v>3701.6662931494516</v>
      </c>
      <c r="T420" s="70">
        <f t="shared" ca="1" si="139"/>
        <v>146531.77270198177</v>
      </c>
      <c r="U420" s="70">
        <f t="shared" ca="1" si="140"/>
        <v>741868.13765388657</v>
      </c>
      <c r="V420" s="70">
        <f t="shared" ca="1" si="141"/>
        <v>0</v>
      </c>
      <c r="W420" s="70">
        <f t="shared" ca="1" si="142"/>
        <v>0</v>
      </c>
      <c r="X420" s="70">
        <f t="shared" ca="1" si="143"/>
        <v>0</v>
      </c>
      <c r="Y420" s="71">
        <f t="shared" ca="1" si="144"/>
        <v>0</v>
      </c>
      <c r="Z420" s="71">
        <f t="shared" ca="1" si="152"/>
        <v>0</v>
      </c>
      <c r="AA420" s="71">
        <f t="shared" ca="1" si="145"/>
        <v>0</v>
      </c>
      <c r="AB420" s="71">
        <f t="shared" ca="1" si="146"/>
        <v>3701.6662931494516</v>
      </c>
      <c r="AC420" s="71">
        <f t="shared" ca="1" si="153"/>
        <v>0</v>
      </c>
      <c r="AD420" s="71">
        <f t="shared" ca="1" si="147"/>
        <v>0</v>
      </c>
      <c r="AE420" s="72">
        <f t="shared" si="148"/>
        <v>0</v>
      </c>
      <c r="AF420" s="73">
        <f>IF(A420&gt;入力設定!$B$6*12,0,IF(AND(ISNUMBER(C420),C420&gt;=0,C420&lt;=1),0,1))</f>
        <v>0</v>
      </c>
    </row>
    <row r="421" spans="1:32" ht="21" customHeight="1">
      <c r="A421" s="68">
        <f>416</f>
        <v>416</v>
      </c>
      <c r="B421" s="69">
        <f>EDATE(入力設定!$B$7,A421-1)</f>
        <v>58958</v>
      </c>
      <c r="C421" s="80">
        <f>INDEX(入力設定!$C$15:$C$24,INT((A421-1)/60)+1)</f>
        <v>0.05</v>
      </c>
      <c r="D421" s="70">
        <f t="shared" ca="1" si="149"/>
        <v>0</v>
      </c>
      <c r="E421" s="70">
        <f t="shared" ca="1" si="150"/>
        <v>0</v>
      </c>
      <c r="F421" s="70">
        <f ca="1">IF(D421+Z421&lt;0.000001,0,IF(D421&lt;0.000001,F420,IF(OR(AE421=1,AND(K420&gt;0,入力設定!$B$8="返済額軽減型",入力設定!$B$11="翌月")),IF(C421=0,D421/MAX(1,E421),D421*(C421/12)/(1-(1+C421/12)^(-MAX(1,E421)))),F420)))</f>
        <v>0</v>
      </c>
      <c r="G421" s="70">
        <f t="shared" ca="1" si="132"/>
        <v>0</v>
      </c>
      <c r="H421" s="70">
        <f t="shared" ca="1" si="133"/>
        <v>0</v>
      </c>
      <c r="I421" s="70">
        <f t="shared" ca="1" si="134"/>
        <v>0</v>
      </c>
      <c r="J421" s="70">
        <f>SUMIFS(入力設定!$G$5:$G$24,入力設定!$F$5:$F$24,A421)</f>
        <v>0</v>
      </c>
      <c r="K421" s="70">
        <f t="shared" ca="1" si="135"/>
        <v>0</v>
      </c>
      <c r="L421" s="70">
        <f ca="1">IF(K421&gt;0,入力設定!$B$9,0)</f>
        <v>0</v>
      </c>
      <c r="M421" s="70">
        <f t="shared" ca="1" si="136"/>
        <v>0</v>
      </c>
      <c r="N421" s="70">
        <f ca="1">IF(M421+AA421&lt;0.000001,0,IF(AND(K421&gt;0,入力設定!$B$8="期間短縮型",AA421&lt;0.000001,F421&gt;M421*C421/12),MAX(1,MIN(E421-1,IF(C421=0,ROUNDUP(M421/F421,0),ROUNDUP(-LN(1-M421*(C421/12)/F421)/LN(1+C421/12),0)))),MAX(1,E421-1)))</f>
        <v>0</v>
      </c>
      <c r="O421" s="70">
        <f t="shared" ca="1" si="137"/>
        <v>0</v>
      </c>
      <c r="P421" s="70">
        <f t="shared" ca="1" si="151"/>
        <v>741868.13765388657</v>
      </c>
      <c r="Q421" s="70">
        <f ca="1">IF(OR(A421&gt;入力設定!$B$6*12,P421+AC421&lt;0.000001),0,IF(P421&lt;0.000001,Q420,IF(AE421=1,IF(C421=0,P421/MAX(1,入力設定!$B$6*12-A421+1),P421*(C421/12)/(1-(1+C421/12)^(-MAX(1,入力設定!$B$6*12-A421+1)))),Q420)))</f>
        <v>150233.43899513123</v>
      </c>
      <c r="R421" s="70">
        <f ca="1">IF(P421+AC421&lt;0.000001,0,IF(A421=入力設定!$B$6*12,P421+AB421+AC421,MIN(Q421,P421+AB421+AC421)))</f>
        <v>150233.43899513123</v>
      </c>
      <c r="S421" s="70">
        <f t="shared" ca="1" si="138"/>
        <v>3091.1172402245279</v>
      </c>
      <c r="T421" s="70">
        <f t="shared" ca="1" si="139"/>
        <v>147142.3217549067</v>
      </c>
      <c r="U421" s="70">
        <f t="shared" ca="1" si="140"/>
        <v>594725.8158989799</v>
      </c>
      <c r="V421" s="70">
        <f t="shared" ca="1" si="141"/>
        <v>0</v>
      </c>
      <c r="W421" s="70">
        <f t="shared" ca="1" si="142"/>
        <v>0</v>
      </c>
      <c r="X421" s="70">
        <f t="shared" ca="1" si="143"/>
        <v>0</v>
      </c>
      <c r="Y421" s="71">
        <f t="shared" ca="1" si="144"/>
        <v>0</v>
      </c>
      <c r="Z421" s="71">
        <f t="shared" ca="1" si="152"/>
        <v>0</v>
      </c>
      <c r="AA421" s="71">
        <f t="shared" ca="1" si="145"/>
        <v>0</v>
      </c>
      <c r="AB421" s="71">
        <f t="shared" ca="1" si="146"/>
        <v>3091.1172402245279</v>
      </c>
      <c r="AC421" s="71">
        <f t="shared" ca="1" si="153"/>
        <v>0</v>
      </c>
      <c r="AD421" s="71">
        <f t="shared" ca="1" si="147"/>
        <v>0</v>
      </c>
      <c r="AE421" s="72">
        <f t="shared" si="148"/>
        <v>0</v>
      </c>
      <c r="AF421" s="73">
        <f>IF(A421&gt;入力設定!$B$6*12,0,IF(AND(ISNUMBER(C421),C421&gt;=0,C421&lt;=1),0,1))</f>
        <v>0</v>
      </c>
    </row>
    <row r="422" spans="1:32" ht="21" customHeight="1">
      <c r="A422" s="68">
        <f>417</f>
        <v>417</v>
      </c>
      <c r="B422" s="69">
        <f>EDATE(入力設定!$B$7,A422-1)</f>
        <v>58988</v>
      </c>
      <c r="C422" s="80">
        <f>INDEX(入力設定!$C$15:$C$24,INT((A422-1)/60)+1)</f>
        <v>0.05</v>
      </c>
      <c r="D422" s="70">
        <f t="shared" ca="1" si="149"/>
        <v>0</v>
      </c>
      <c r="E422" s="70">
        <f t="shared" ca="1" si="150"/>
        <v>0</v>
      </c>
      <c r="F422" s="70">
        <f ca="1">IF(D422+Z422&lt;0.000001,0,IF(D422&lt;0.000001,F421,IF(OR(AE422=1,AND(K421&gt;0,入力設定!$B$8="返済額軽減型",入力設定!$B$11="翌月")),IF(C422=0,D422/MAX(1,E422),D422*(C422/12)/(1-(1+C422/12)^(-MAX(1,E422)))),F421)))</f>
        <v>0</v>
      </c>
      <c r="G422" s="70">
        <f t="shared" ca="1" si="132"/>
        <v>0</v>
      </c>
      <c r="H422" s="70">
        <f t="shared" ca="1" si="133"/>
        <v>0</v>
      </c>
      <c r="I422" s="70">
        <f t="shared" ca="1" si="134"/>
        <v>0</v>
      </c>
      <c r="J422" s="70">
        <f>SUMIFS(入力設定!$G$5:$G$24,入力設定!$F$5:$F$24,A422)</f>
        <v>0</v>
      </c>
      <c r="K422" s="70">
        <f t="shared" ca="1" si="135"/>
        <v>0</v>
      </c>
      <c r="L422" s="70">
        <f ca="1">IF(K422&gt;0,入力設定!$B$9,0)</f>
        <v>0</v>
      </c>
      <c r="M422" s="70">
        <f t="shared" ca="1" si="136"/>
        <v>0</v>
      </c>
      <c r="N422" s="70">
        <f ca="1">IF(M422+AA422&lt;0.000001,0,IF(AND(K422&gt;0,入力設定!$B$8="期間短縮型",AA422&lt;0.000001,F422&gt;M422*C422/12),MAX(1,MIN(E422-1,IF(C422=0,ROUNDUP(M422/F422,0),ROUNDUP(-LN(1-M422*(C422/12)/F422)/LN(1+C422/12),0)))),MAX(1,E422-1)))</f>
        <v>0</v>
      </c>
      <c r="O422" s="70">
        <f t="shared" ca="1" si="137"/>
        <v>0</v>
      </c>
      <c r="P422" s="70">
        <f t="shared" ca="1" si="151"/>
        <v>594725.8158989799</v>
      </c>
      <c r="Q422" s="70">
        <f ca="1">IF(OR(A422&gt;入力設定!$B$6*12,P422+AC422&lt;0.000001),0,IF(P422&lt;0.000001,Q421,IF(AE422=1,IF(C422=0,P422/MAX(1,入力設定!$B$6*12-A422+1),P422*(C422/12)/(1-(1+C422/12)^(-MAX(1,入力設定!$B$6*12-A422+1)))),Q421)))</f>
        <v>150233.43899513123</v>
      </c>
      <c r="R422" s="70">
        <f ca="1">IF(P422+AC422&lt;0.000001,0,IF(A422=入力設定!$B$6*12,P422+AB422+AC422,MIN(Q422,P422+AB422+AC422)))</f>
        <v>150233.43899513123</v>
      </c>
      <c r="S422" s="70">
        <f t="shared" ca="1" si="138"/>
        <v>2478.0242329124162</v>
      </c>
      <c r="T422" s="70">
        <f t="shared" ca="1" si="139"/>
        <v>147755.4147622188</v>
      </c>
      <c r="U422" s="70">
        <f t="shared" ca="1" si="140"/>
        <v>446970.40113676107</v>
      </c>
      <c r="V422" s="70">
        <f t="shared" ca="1" si="141"/>
        <v>0</v>
      </c>
      <c r="W422" s="70">
        <f t="shared" ca="1" si="142"/>
        <v>0</v>
      </c>
      <c r="X422" s="70">
        <f t="shared" ca="1" si="143"/>
        <v>0</v>
      </c>
      <c r="Y422" s="71">
        <f t="shared" ca="1" si="144"/>
        <v>0</v>
      </c>
      <c r="Z422" s="71">
        <f t="shared" ca="1" si="152"/>
        <v>0</v>
      </c>
      <c r="AA422" s="71">
        <f t="shared" ca="1" si="145"/>
        <v>0</v>
      </c>
      <c r="AB422" s="71">
        <f t="shared" ca="1" si="146"/>
        <v>2478.0242329124162</v>
      </c>
      <c r="AC422" s="71">
        <f t="shared" ca="1" si="153"/>
        <v>0</v>
      </c>
      <c r="AD422" s="71">
        <f t="shared" ca="1" si="147"/>
        <v>0</v>
      </c>
      <c r="AE422" s="72">
        <f t="shared" si="148"/>
        <v>0</v>
      </c>
      <c r="AF422" s="73">
        <f>IF(A422&gt;入力設定!$B$6*12,0,IF(AND(ISNUMBER(C422),C422&gt;=0,C422&lt;=1),0,1))</f>
        <v>0</v>
      </c>
    </row>
    <row r="423" spans="1:32" ht="21" customHeight="1">
      <c r="A423" s="68">
        <f>418</f>
        <v>418</v>
      </c>
      <c r="B423" s="69">
        <f>EDATE(入力設定!$B$7,A423-1)</f>
        <v>59019</v>
      </c>
      <c r="C423" s="80">
        <f>INDEX(入力設定!$C$15:$C$24,INT((A423-1)/60)+1)</f>
        <v>0.05</v>
      </c>
      <c r="D423" s="70">
        <f t="shared" ca="1" si="149"/>
        <v>0</v>
      </c>
      <c r="E423" s="70">
        <f t="shared" ca="1" si="150"/>
        <v>0</v>
      </c>
      <c r="F423" s="70">
        <f ca="1">IF(D423+Z423&lt;0.000001,0,IF(D423&lt;0.000001,F422,IF(OR(AE423=1,AND(K422&gt;0,入力設定!$B$8="返済額軽減型",入力設定!$B$11="翌月")),IF(C423=0,D423/MAX(1,E423),D423*(C423/12)/(1-(1+C423/12)^(-MAX(1,E423)))),F422)))</f>
        <v>0</v>
      </c>
      <c r="G423" s="70">
        <f t="shared" ca="1" si="132"/>
        <v>0</v>
      </c>
      <c r="H423" s="70">
        <f t="shared" ca="1" si="133"/>
        <v>0</v>
      </c>
      <c r="I423" s="70">
        <f t="shared" ca="1" si="134"/>
        <v>0</v>
      </c>
      <c r="J423" s="70">
        <f>SUMIFS(入力設定!$G$5:$G$24,入力設定!$F$5:$F$24,A423)</f>
        <v>0</v>
      </c>
      <c r="K423" s="70">
        <f t="shared" ca="1" si="135"/>
        <v>0</v>
      </c>
      <c r="L423" s="70">
        <f ca="1">IF(K423&gt;0,入力設定!$B$9,0)</f>
        <v>0</v>
      </c>
      <c r="M423" s="70">
        <f t="shared" ca="1" si="136"/>
        <v>0</v>
      </c>
      <c r="N423" s="70">
        <f ca="1">IF(M423+AA423&lt;0.000001,0,IF(AND(K423&gt;0,入力設定!$B$8="期間短縮型",AA423&lt;0.000001,F423&gt;M423*C423/12),MAX(1,MIN(E423-1,IF(C423=0,ROUNDUP(M423/F423,0),ROUNDUP(-LN(1-M423*(C423/12)/F423)/LN(1+C423/12),0)))),MAX(1,E423-1)))</f>
        <v>0</v>
      </c>
      <c r="O423" s="70">
        <f t="shared" ca="1" si="137"/>
        <v>0</v>
      </c>
      <c r="P423" s="70">
        <f t="shared" ca="1" si="151"/>
        <v>446970.40113676107</v>
      </c>
      <c r="Q423" s="70">
        <f ca="1">IF(OR(A423&gt;入力設定!$B$6*12,P423+AC423&lt;0.000001),0,IF(P423&lt;0.000001,Q422,IF(AE423=1,IF(C423=0,P423/MAX(1,入力設定!$B$6*12-A423+1),P423*(C423/12)/(1-(1+C423/12)^(-MAX(1,入力設定!$B$6*12-A423+1)))),Q422)))</f>
        <v>150233.43899513123</v>
      </c>
      <c r="R423" s="70">
        <f ca="1">IF(P423+AC423&lt;0.000001,0,IF(A423=入力設定!$B$6*12,P423+AB423+AC423,MIN(Q423,P423+AB423+AC423)))</f>
        <v>150233.43899513123</v>
      </c>
      <c r="S423" s="70">
        <f t="shared" ca="1" si="138"/>
        <v>1862.376671403171</v>
      </c>
      <c r="T423" s="70">
        <f t="shared" ca="1" si="139"/>
        <v>148371.06232372805</v>
      </c>
      <c r="U423" s="70">
        <f t="shared" ca="1" si="140"/>
        <v>298599.33881303301</v>
      </c>
      <c r="V423" s="70">
        <f t="shared" ca="1" si="141"/>
        <v>0</v>
      </c>
      <c r="W423" s="70">
        <f t="shared" ca="1" si="142"/>
        <v>0</v>
      </c>
      <c r="X423" s="70">
        <f t="shared" ca="1" si="143"/>
        <v>0</v>
      </c>
      <c r="Y423" s="71">
        <f t="shared" ca="1" si="144"/>
        <v>0</v>
      </c>
      <c r="Z423" s="71">
        <f t="shared" ca="1" si="152"/>
        <v>0</v>
      </c>
      <c r="AA423" s="71">
        <f t="shared" ca="1" si="145"/>
        <v>0</v>
      </c>
      <c r="AB423" s="71">
        <f t="shared" ca="1" si="146"/>
        <v>1862.376671403171</v>
      </c>
      <c r="AC423" s="71">
        <f t="shared" ca="1" si="153"/>
        <v>0</v>
      </c>
      <c r="AD423" s="71">
        <f t="shared" ca="1" si="147"/>
        <v>0</v>
      </c>
      <c r="AE423" s="72">
        <f t="shared" si="148"/>
        <v>0</v>
      </c>
      <c r="AF423" s="73">
        <f>IF(A423&gt;入力設定!$B$6*12,0,IF(AND(ISNUMBER(C423),C423&gt;=0,C423&lt;=1),0,1))</f>
        <v>0</v>
      </c>
    </row>
    <row r="424" spans="1:32" ht="21" customHeight="1">
      <c r="A424" s="68">
        <f>419</f>
        <v>419</v>
      </c>
      <c r="B424" s="69">
        <f>EDATE(入力設定!$B$7,A424-1)</f>
        <v>59050</v>
      </c>
      <c r="C424" s="80">
        <f>INDEX(入力設定!$C$15:$C$24,INT((A424-1)/60)+1)</f>
        <v>0.05</v>
      </c>
      <c r="D424" s="70">
        <f t="shared" ca="1" si="149"/>
        <v>0</v>
      </c>
      <c r="E424" s="70">
        <f t="shared" ca="1" si="150"/>
        <v>0</v>
      </c>
      <c r="F424" s="70">
        <f ca="1">IF(D424+Z424&lt;0.000001,0,IF(D424&lt;0.000001,F423,IF(OR(AE424=1,AND(K423&gt;0,入力設定!$B$8="返済額軽減型",入力設定!$B$11="翌月")),IF(C424=0,D424/MAX(1,E424),D424*(C424/12)/(1-(1+C424/12)^(-MAX(1,E424)))),F423)))</f>
        <v>0</v>
      </c>
      <c r="G424" s="70">
        <f t="shared" ca="1" si="132"/>
        <v>0</v>
      </c>
      <c r="H424" s="70">
        <f t="shared" ca="1" si="133"/>
        <v>0</v>
      </c>
      <c r="I424" s="70">
        <f t="shared" ca="1" si="134"/>
        <v>0</v>
      </c>
      <c r="J424" s="70">
        <f>SUMIFS(入力設定!$G$5:$G$24,入力設定!$F$5:$F$24,A424)</f>
        <v>0</v>
      </c>
      <c r="K424" s="70">
        <f t="shared" ca="1" si="135"/>
        <v>0</v>
      </c>
      <c r="L424" s="70">
        <f ca="1">IF(K424&gt;0,入力設定!$B$9,0)</f>
        <v>0</v>
      </c>
      <c r="M424" s="70">
        <f t="shared" ca="1" si="136"/>
        <v>0</v>
      </c>
      <c r="N424" s="70">
        <f ca="1">IF(M424+AA424&lt;0.000001,0,IF(AND(K424&gt;0,入力設定!$B$8="期間短縮型",AA424&lt;0.000001,F424&gt;M424*C424/12),MAX(1,MIN(E424-1,IF(C424=0,ROUNDUP(M424/F424,0),ROUNDUP(-LN(1-M424*(C424/12)/F424)/LN(1+C424/12),0)))),MAX(1,E424-1)))</f>
        <v>0</v>
      </c>
      <c r="O424" s="70">
        <f t="shared" ca="1" si="137"/>
        <v>0</v>
      </c>
      <c r="P424" s="70">
        <f t="shared" ca="1" si="151"/>
        <v>298599.33881303301</v>
      </c>
      <c r="Q424" s="70">
        <f ca="1">IF(OR(A424&gt;入力設定!$B$6*12,P424+AC424&lt;0.000001),0,IF(P424&lt;0.000001,Q423,IF(AE424=1,IF(C424=0,P424/MAX(1,入力設定!$B$6*12-A424+1),P424*(C424/12)/(1-(1+C424/12)^(-MAX(1,入力設定!$B$6*12-A424+1)))),Q423)))</f>
        <v>150233.43899513123</v>
      </c>
      <c r="R424" s="70">
        <f ca="1">IF(P424+AC424&lt;0.000001,0,IF(A424=入力設定!$B$6*12,P424+AB424+AC424,MIN(Q424,P424+AB424+AC424)))</f>
        <v>150233.43899513123</v>
      </c>
      <c r="S424" s="70">
        <f t="shared" ca="1" si="138"/>
        <v>1244.1639117209709</v>
      </c>
      <c r="T424" s="70">
        <f t="shared" ca="1" si="139"/>
        <v>148989.27508341026</v>
      </c>
      <c r="U424" s="70">
        <f t="shared" ca="1" si="140"/>
        <v>149610.06372962275</v>
      </c>
      <c r="V424" s="70">
        <f t="shared" ca="1" si="141"/>
        <v>0</v>
      </c>
      <c r="W424" s="70">
        <f t="shared" ca="1" si="142"/>
        <v>0</v>
      </c>
      <c r="X424" s="70">
        <f t="shared" ca="1" si="143"/>
        <v>0</v>
      </c>
      <c r="Y424" s="71">
        <f t="shared" ca="1" si="144"/>
        <v>0</v>
      </c>
      <c r="Z424" s="71">
        <f t="shared" ca="1" si="152"/>
        <v>0</v>
      </c>
      <c r="AA424" s="71">
        <f t="shared" ca="1" si="145"/>
        <v>0</v>
      </c>
      <c r="AB424" s="71">
        <f t="shared" ca="1" si="146"/>
        <v>1244.1639117209709</v>
      </c>
      <c r="AC424" s="71">
        <f t="shared" ca="1" si="153"/>
        <v>0</v>
      </c>
      <c r="AD424" s="71">
        <f t="shared" ca="1" si="147"/>
        <v>0</v>
      </c>
      <c r="AE424" s="72">
        <f t="shared" si="148"/>
        <v>0</v>
      </c>
      <c r="AF424" s="73">
        <f>IF(A424&gt;入力設定!$B$6*12,0,IF(AND(ISNUMBER(C424),C424&gt;=0,C424&lt;=1),0,1))</f>
        <v>0</v>
      </c>
    </row>
    <row r="425" spans="1:32" ht="21" customHeight="1">
      <c r="A425" s="68">
        <f>420</f>
        <v>420</v>
      </c>
      <c r="B425" s="69">
        <f>EDATE(入力設定!$B$7,A425-1)</f>
        <v>59080</v>
      </c>
      <c r="C425" s="80">
        <f>INDEX(入力設定!$C$15:$C$24,INT((A425-1)/60)+1)</f>
        <v>0.05</v>
      </c>
      <c r="D425" s="70">
        <f t="shared" ca="1" si="149"/>
        <v>0</v>
      </c>
      <c r="E425" s="70">
        <f t="shared" ca="1" si="150"/>
        <v>0</v>
      </c>
      <c r="F425" s="70">
        <f ca="1">IF(D425+Z425&lt;0.000001,0,IF(D425&lt;0.000001,F424,IF(OR(AE425=1,AND(K424&gt;0,入力設定!$B$8="返済額軽減型",入力設定!$B$11="翌月")),IF(C425=0,D425/MAX(1,E425),D425*(C425/12)/(1-(1+C425/12)^(-MAX(1,E425)))),F424)))</f>
        <v>0</v>
      </c>
      <c r="G425" s="70">
        <f t="shared" ca="1" si="132"/>
        <v>0</v>
      </c>
      <c r="H425" s="70">
        <f t="shared" ca="1" si="133"/>
        <v>0</v>
      </c>
      <c r="I425" s="70">
        <f t="shared" ca="1" si="134"/>
        <v>0</v>
      </c>
      <c r="J425" s="70">
        <f>SUMIFS(入力設定!$G$5:$G$24,入力設定!$F$5:$F$24,A425)</f>
        <v>0</v>
      </c>
      <c r="K425" s="70">
        <f t="shared" ca="1" si="135"/>
        <v>0</v>
      </c>
      <c r="L425" s="70">
        <f ca="1">IF(K425&gt;0,入力設定!$B$9,0)</f>
        <v>0</v>
      </c>
      <c r="M425" s="70">
        <f t="shared" ca="1" si="136"/>
        <v>0</v>
      </c>
      <c r="N425" s="70">
        <f ca="1">IF(M425+AA425&lt;0.000001,0,IF(AND(K425&gt;0,入力設定!$B$8="期間短縮型",AA425&lt;0.000001,F425&gt;M425*C425/12),MAX(1,MIN(E425-1,IF(C425=0,ROUNDUP(M425/F425,0),ROUNDUP(-LN(1-M425*(C425/12)/F425)/LN(1+C425/12),0)))),MAX(1,E425-1)))</f>
        <v>0</v>
      </c>
      <c r="O425" s="70">
        <f t="shared" ca="1" si="137"/>
        <v>0</v>
      </c>
      <c r="P425" s="70">
        <f t="shared" ca="1" si="151"/>
        <v>149610.06372962275</v>
      </c>
      <c r="Q425" s="70">
        <f ca="1">IF(OR(A425&gt;入力設定!$B$6*12,P425+AC425&lt;0.000001),0,IF(P425&lt;0.000001,Q424,IF(AE425=1,IF(C425=0,P425/MAX(1,入力設定!$B$6*12-A425+1),P425*(C425/12)/(1-(1+C425/12)^(-MAX(1,入力設定!$B$6*12-A425+1)))),Q424)))</f>
        <v>150233.43899513123</v>
      </c>
      <c r="R425" s="70">
        <f ca="1">IF(P425+AC425&lt;0.000001,0,IF(A425=入力設定!$B$6*12,P425+AB425+AC425,MIN(Q425,P425+AB425+AC425)))</f>
        <v>150233.43899516284</v>
      </c>
      <c r="S425" s="70">
        <f t="shared" ca="1" si="138"/>
        <v>623.3752655400948</v>
      </c>
      <c r="T425" s="70">
        <f t="shared" ca="1" si="139"/>
        <v>149610.06372962275</v>
      </c>
      <c r="U425" s="70">
        <f t="shared" ca="1" si="140"/>
        <v>0</v>
      </c>
      <c r="V425" s="70">
        <f t="shared" ca="1" si="141"/>
        <v>0</v>
      </c>
      <c r="W425" s="70">
        <f t="shared" ca="1" si="142"/>
        <v>0</v>
      </c>
      <c r="X425" s="70">
        <f t="shared" ca="1" si="143"/>
        <v>0</v>
      </c>
      <c r="Y425" s="71">
        <f t="shared" ca="1" si="144"/>
        <v>0</v>
      </c>
      <c r="Z425" s="71">
        <f t="shared" ca="1" si="152"/>
        <v>0</v>
      </c>
      <c r="AA425" s="71">
        <f t="shared" ca="1" si="145"/>
        <v>0</v>
      </c>
      <c r="AB425" s="71">
        <f t="shared" ca="1" si="146"/>
        <v>623.3752655400948</v>
      </c>
      <c r="AC425" s="71">
        <f t="shared" ca="1" si="153"/>
        <v>0</v>
      </c>
      <c r="AD425" s="71">
        <f t="shared" ca="1" si="147"/>
        <v>0</v>
      </c>
      <c r="AE425" s="72">
        <f t="shared" si="148"/>
        <v>0</v>
      </c>
      <c r="AF425" s="73">
        <f>IF(A425&gt;入力設定!$B$6*12,0,IF(AND(ISNUMBER(C425),C425&gt;=0,C425&lt;=1),0,1))</f>
        <v>0</v>
      </c>
    </row>
    <row r="426" spans="1:32" ht="21" customHeight="1">
      <c r="A426" s="68">
        <f>421</f>
        <v>421</v>
      </c>
      <c r="B426" s="69">
        <f>EDATE(入力設定!$B$7,A426-1)</f>
        <v>59111</v>
      </c>
      <c r="C426" s="80">
        <f>INDEX(入力設定!$C$15:$C$24,INT((A426-1)/60)+1)</f>
        <v>0.05</v>
      </c>
      <c r="D426" s="70">
        <f t="shared" ca="1" si="149"/>
        <v>0</v>
      </c>
      <c r="E426" s="70">
        <f t="shared" ca="1" si="150"/>
        <v>0</v>
      </c>
      <c r="F426" s="70">
        <f ca="1">IF(D426+Z426&lt;0.000001,0,IF(D426&lt;0.000001,F425,IF(OR(AE426=1,AND(K425&gt;0,入力設定!$B$8="返済額軽減型",入力設定!$B$11="翌月")),IF(C426=0,D426/MAX(1,E426),D426*(C426/12)/(1-(1+C426/12)^(-MAX(1,E426)))),F425)))</f>
        <v>0</v>
      </c>
      <c r="G426" s="70">
        <f t="shared" ca="1" si="132"/>
        <v>0</v>
      </c>
      <c r="H426" s="70">
        <f t="shared" ca="1" si="133"/>
        <v>0</v>
      </c>
      <c r="I426" s="70">
        <f t="shared" ca="1" si="134"/>
        <v>0</v>
      </c>
      <c r="J426" s="70">
        <f>SUMIFS(入力設定!$G$5:$G$24,入力設定!$F$5:$F$24,A426)</f>
        <v>0</v>
      </c>
      <c r="K426" s="70">
        <f t="shared" ca="1" si="135"/>
        <v>0</v>
      </c>
      <c r="L426" s="70">
        <f ca="1">IF(K426&gt;0,入力設定!$B$9,0)</f>
        <v>0</v>
      </c>
      <c r="M426" s="70">
        <f t="shared" ca="1" si="136"/>
        <v>0</v>
      </c>
      <c r="N426" s="70">
        <f ca="1">IF(M426+AA426&lt;0.000001,0,IF(AND(K426&gt;0,入力設定!$B$8="期間短縮型",AA426&lt;0.000001,F426&gt;M426*C426/12),MAX(1,MIN(E426-1,IF(C426=0,ROUNDUP(M426/F426,0),ROUNDUP(-LN(1-M426*(C426/12)/F426)/LN(1+C426/12),0)))),MAX(1,E426-1)))</f>
        <v>0</v>
      </c>
      <c r="O426" s="70">
        <f t="shared" ca="1" si="137"/>
        <v>0</v>
      </c>
      <c r="P426" s="70">
        <f t="shared" ca="1" si="151"/>
        <v>0</v>
      </c>
      <c r="Q426" s="70">
        <f ca="1">IF(OR(A426&gt;入力設定!$B$6*12,P426+AC426&lt;0.000001),0,IF(P426&lt;0.000001,Q425,IF(AE426=1,IF(C426=0,P426/MAX(1,入力設定!$B$6*12-A426+1),P426*(C426/12)/(1-(1+C426/12)^(-MAX(1,入力設定!$B$6*12-A426+1)))),Q425)))</f>
        <v>0</v>
      </c>
      <c r="R426" s="70">
        <f ca="1">IF(P426+AC426&lt;0.000001,0,IF(A426=入力設定!$B$6*12,P426+AB426+AC426,MIN(Q426,P426+AB426+AC426)))</f>
        <v>0</v>
      </c>
      <c r="S426" s="70">
        <f t="shared" ca="1" si="138"/>
        <v>0</v>
      </c>
      <c r="T426" s="70">
        <f t="shared" ca="1" si="139"/>
        <v>0</v>
      </c>
      <c r="U426" s="70">
        <f t="shared" ca="1" si="140"/>
        <v>0</v>
      </c>
      <c r="V426" s="70">
        <f t="shared" ca="1" si="141"/>
        <v>0</v>
      </c>
      <c r="W426" s="70">
        <f t="shared" ca="1" si="142"/>
        <v>0</v>
      </c>
      <c r="X426" s="70">
        <f t="shared" ca="1" si="143"/>
        <v>0</v>
      </c>
      <c r="Y426" s="71">
        <f t="shared" ca="1" si="144"/>
        <v>0</v>
      </c>
      <c r="Z426" s="71">
        <f t="shared" ca="1" si="152"/>
        <v>0</v>
      </c>
      <c r="AA426" s="71">
        <f t="shared" ca="1" si="145"/>
        <v>0</v>
      </c>
      <c r="AB426" s="71">
        <f t="shared" ca="1" si="146"/>
        <v>0</v>
      </c>
      <c r="AC426" s="71">
        <f t="shared" ca="1" si="153"/>
        <v>0</v>
      </c>
      <c r="AD426" s="71">
        <f t="shared" ca="1" si="147"/>
        <v>0</v>
      </c>
      <c r="AE426" s="72">
        <f t="shared" si="148"/>
        <v>1</v>
      </c>
      <c r="AF426" s="73">
        <f>IF(A426&gt;入力設定!$B$6*12,0,IF(AND(ISNUMBER(C426),C426&gt;=0,C426&lt;=1),0,1))</f>
        <v>0</v>
      </c>
    </row>
    <row r="427" spans="1:32" ht="21" customHeight="1">
      <c r="A427" s="68">
        <f>422</f>
        <v>422</v>
      </c>
      <c r="B427" s="69">
        <f>EDATE(入力設定!$B$7,A427-1)</f>
        <v>59141</v>
      </c>
      <c r="C427" s="80">
        <f>INDEX(入力設定!$C$15:$C$24,INT((A427-1)/60)+1)</f>
        <v>0.05</v>
      </c>
      <c r="D427" s="70">
        <f t="shared" ca="1" si="149"/>
        <v>0</v>
      </c>
      <c r="E427" s="70">
        <f t="shared" ca="1" si="150"/>
        <v>0</v>
      </c>
      <c r="F427" s="70">
        <f ca="1">IF(D427+Z427&lt;0.000001,0,IF(D427&lt;0.000001,F426,IF(OR(AE427=1,AND(K426&gt;0,入力設定!$B$8="返済額軽減型",入力設定!$B$11="翌月")),IF(C427=0,D427/MAX(1,E427),D427*(C427/12)/(1-(1+C427/12)^(-MAX(1,E427)))),F426)))</f>
        <v>0</v>
      </c>
      <c r="G427" s="70">
        <f t="shared" ca="1" si="132"/>
        <v>0</v>
      </c>
      <c r="H427" s="70">
        <f t="shared" ca="1" si="133"/>
        <v>0</v>
      </c>
      <c r="I427" s="70">
        <f t="shared" ca="1" si="134"/>
        <v>0</v>
      </c>
      <c r="J427" s="70">
        <f>SUMIFS(入力設定!$G$5:$G$24,入力設定!$F$5:$F$24,A427)</f>
        <v>0</v>
      </c>
      <c r="K427" s="70">
        <f t="shared" ca="1" si="135"/>
        <v>0</v>
      </c>
      <c r="L427" s="70">
        <f ca="1">IF(K427&gt;0,入力設定!$B$9,0)</f>
        <v>0</v>
      </c>
      <c r="M427" s="70">
        <f t="shared" ca="1" si="136"/>
        <v>0</v>
      </c>
      <c r="N427" s="70">
        <f ca="1">IF(M427+AA427&lt;0.000001,0,IF(AND(K427&gt;0,入力設定!$B$8="期間短縮型",AA427&lt;0.000001,F427&gt;M427*C427/12),MAX(1,MIN(E427-1,IF(C427=0,ROUNDUP(M427/F427,0),ROUNDUP(-LN(1-M427*(C427/12)/F427)/LN(1+C427/12),0)))),MAX(1,E427-1)))</f>
        <v>0</v>
      </c>
      <c r="O427" s="70">
        <f t="shared" ca="1" si="137"/>
        <v>0</v>
      </c>
      <c r="P427" s="70">
        <f t="shared" ca="1" si="151"/>
        <v>0</v>
      </c>
      <c r="Q427" s="70">
        <f ca="1">IF(OR(A427&gt;入力設定!$B$6*12,P427+AC427&lt;0.000001),0,IF(P427&lt;0.000001,Q426,IF(AE427=1,IF(C427=0,P427/MAX(1,入力設定!$B$6*12-A427+1),P427*(C427/12)/(1-(1+C427/12)^(-MAX(1,入力設定!$B$6*12-A427+1)))),Q426)))</f>
        <v>0</v>
      </c>
      <c r="R427" s="70">
        <f ca="1">IF(P427+AC427&lt;0.000001,0,IF(A427=入力設定!$B$6*12,P427+AB427+AC427,MIN(Q427,P427+AB427+AC427)))</f>
        <v>0</v>
      </c>
      <c r="S427" s="70">
        <f t="shared" ca="1" si="138"/>
        <v>0</v>
      </c>
      <c r="T427" s="70">
        <f t="shared" ca="1" si="139"/>
        <v>0</v>
      </c>
      <c r="U427" s="70">
        <f t="shared" ca="1" si="140"/>
        <v>0</v>
      </c>
      <c r="V427" s="70">
        <f t="shared" ca="1" si="141"/>
        <v>0</v>
      </c>
      <c r="W427" s="70">
        <f t="shared" ca="1" si="142"/>
        <v>0</v>
      </c>
      <c r="X427" s="70">
        <f t="shared" ca="1" si="143"/>
        <v>0</v>
      </c>
      <c r="Y427" s="71">
        <f t="shared" ca="1" si="144"/>
        <v>0</v>
      </c>
      <c r="Z427" s="71">
        <f t="shared" ca="1" si="152"/>
        <v>0</v>
      </c>
      <c r="AA427" s="71">
        <f t="shared" ca="1" si="145"/>
        <v>0</v>
      </c>
      <c r="AB427" s="71">
        <f t="shared" ca="1" si="146"/>
        <v>0</v>
      </c>
      <c r="AC427" s="71">
        <f t="shared" ca="1" si="153"/>
        <v>0</v>
      </c>
      <c r="AD427" s="71">
        <f t="shared" ca="1" si="147"/>
        <v>0</v>
      </c>
      <c r="AE427" s="72">
        <f t="shared" si="148"/>
        <v>0</v>
      </c>
      <c r="AF427" s="73">
        <f>IF(A427&gt;入力設定!$B$6*12,0,IF(AND(ISNUMBER(C427),C427&gt;=0,C427&lt;=1),0,1))</f>
        <v>0</v>
      </c>
    </row>
    <row r="428" spans="1:32" ht="21" customHeight="1">
      <c r="A428" s="68">
        <f>423</f>
        <v>423</v>
      </c>
      <c r="B428" s="69">
        <f>EDATE(入力設定!$B$7,A428-1)</f>
        <v>59172</v>
      </c>
      <c r="C428" s="80">
        <f>INDEX(入力設定!$C$15:$C$24,INT((A428-1)/60)+1)</f>
        <v>0.05</v>
      </c>
      <c r="D428" s="70">
        <f t="shared" ca="1" si="149"/>
        <v>0</v>
      </c>
      <c r="E428" s="70">
        <f t="shared" ca="1" si="150"/>
        <v>0</v>
      </c>
      <c r="F428" s="70">
        <f ca="1">IF(D428+Z428&lt;0.000001,0,IF(D428&lt;0.000001,F427,IF(OR(AE428=1,AND(K427&gt;0,入力設定!$B$8="返済額軽減型",入力設定!$B$11="翌月")),IF(C428=0,D428/MAX(1,E428),D428*(C428/12)/(1-(1+C428/12)^(-MAX(1,E428)))),F427)))</f>
        <v>0</v>
      </c>
      <c r="G428" s="70">
        <f t="shared" ca="1" si="132"/>
        <v>0</v>
      </c>
      <c r="H428" s="70">
        <f t="shared" ca="1" si="133"/>
        <v>0</v>
      </c>
      <c r="I428" s="70">
        <f t="shared" ca="1" si="134"/>
        <v>0</v>
      </c>
      <c r="J428" s="70">
        <f>SUMIFS(入力設定!$G$5:$G$24,入力設定!$F$5:$F$24,A428)</f>
        <v>0</v>
      </c>
      <c r="K428" s="70">
        <f t="shared" ca="1" si="135"/>
        <v>0</v>
      </c>
      <c r="L428" s="70">
        <f ca="1">IF(K428&gt;0,入力設定!$B$9,0)</f>
        <v>0</v>
      </c>
      <c r="M428" s="70">
        <f t="shared" ca="1" si="136"/>
        <v>0</v>
      </c>
      <c r="N428" s="70">
        <f ca="1">IF(M428+AA428&lt;0.000001,0,IF(AND(K428&gt;0,入力設定!$B$8="期間短縮型",AA428&lt;0.000001,F428&gt;M428*C428/12),MAX(1,MIN(E428-1,IF(C428=0,ROUNDUP(M428/F428,0),ROUNDUP(-LN(1-M428*(C428/12)/F428)/LN(1+C428/12),0)))),MAX(1,E428-1)))</f>
        <v>0</v>
      </c>
      <c r="O428" s="70">
        <f t="shared" ca="1" si="137"/>
        <v>0</v>
      </c>
      <c r="P428" s="70">
        <f t="shared" ca="1" si="151"/>
        <v>0</v>
      </c>
      <c r="Q428" s="70">
        <f ca="1">IF(OR(A428&gt;入力設定!$B$6*12,P428+AC428&lt;0.000001),0,IF(P428&lt;0.000001,Q427,IF(AE428=1,IF(C428=0,P428/MAX(1,入力設定!$B$6*12-A428+1),P428*(C428/12)/(1-(1+C428/12)^(-MAX(1,入力設定!$B$6*12-A428+1)))),Q427)))</f>
        <v>0</v>
      </c>
      <c r="R428" s="70">
        <f ca="1">IF(P428+AC428&lt;0.000001,0,IF(A428=入力設定!$B$6*12,P428+AB428+AC428,MIN(Q428,P428+AB428+AC428)))</f>
        <v>0</v>
      </c>
      <c r="S428" s="70">
        <f t="shared" ca="1" si="138"/>
        <v>0</v>
      </c>
      <c r="T428" s="70">
        <f t="shared" ca="1" si="139"/>
        <v>0</v>
      </c>
      <c r="U428" s="70">
        <f t="shared" ca="1" si="140"/>
        <v>0</v>
      </c>
      <c r="V428" s="70">
        <f t="shared" ca="1" si="141"/>
        <v>0</v>
      </c>
      <c r="W428" s="70">
        <f t="shared" ca="1" si="142"/>
        <v>0</v>
      </c>
      <c r="X428" s="70">
        <f t="shared" ca="1" si="143"/>
        <v>0</v>
      </c>
      <c r="Y428" s="71">
        <f t="shared" ca="1" si="144"/>
        <v>0</v>
      </c>
      <c r="Z428" s="71">
        <f t="shared" ca="1" si="152"/>
        <v>0</v>
      </c>
      <c r="AA428" s="71">
        <f t="shared" ca="1" si="145"/>
        <v>0</v>
      </c>
      <c r="AB428" s="71">
        <f t="shared" ca="1" si="146"/>
        <v>0</v>
      </c>
      <c r="AC428" s="71">
        <f t="shared" ca="1" si="153"/>
        <v>0</v>
      </c>
      <c r="AD428" s="71">
        <f t="shared" ca="1" si="147"/>
        <v>0</v>
      </c>
      <c r="AE428" s="72">
        <f t="shared" si="148"/>
        <v>0</v>
      </c>
      <c r="AF428" s="73">
        <f>IF(A428&gt;入力設定!$B$6*12,0,IF(AND(ISNUMBER(C428),C428&gt;=0,C428&lt;=1),0,1))</f>
        <v>0</v>
      </c>
    </row>
    <row r="429" spans="1:32" ht="21" customHeight="1">
      <c r="A429" s="68">
        <f>424</f>
        <v>424</v>
      </c>
      <c r="B429" s="69">
        <f>EDATE(入力設定!$B$7,A429-1)</f>
        <v>59203</v>
      </c>
      <c r="C429" s="80">
        <f>INDEX(入力設定!$C$15:$C$24,INT((A429-1)/60)+1)</f>
        <v>0.05</v>
      </c>
      <c r="D429" s="70">
        <f t="shared" ca="1" si="149"/>
        <v>0</v>
      </c>
      <c r="E429" s="70">
        <f t="shared" ca="1" si="150"/>
        <v>0</v>
      </c>
      <c r="F429" s="70">
        <f ca="1">IF(D429+Z429&lt;0.000001,0,IF(D429&lt;0.000001,F428,IF(OR(AE429=1,AND(K428&gt;0,入力設定!$B$8="返済額軽減型",入力設定!$B$11="翌月")),IF(C429=0,D429/MAX(1,E429),D429*(C429/12)/(1-(1+C429/12)^(-MAX(1,E429)))),F428)))</f>
        <v>0</v>
      </c>
      <c r="G429" s="70">
        <f t="shared" ca="1" si="132"/>
        <v>0</v>
      </c>
      <c r="H429" s="70">
        <f t="shared" ca="1" si="133"/>
        <v>0</v>
      </c>
      <c r="I429" s="70">
        <f t="shared" ca="1" si="134"/>
        <v>0</v>
      </c>
      <c r="J429" s="70">
        <f>SUMIFS(入力設定!$G$5:$G$24,入力設定!$F$5:$F$24,A429)</f>
        <v>0</v>
      </c>
      <c r="K429" s="70">
        <f t="shared" ca="1" si="135"/>
        <v>0</v>
      </c>
      <c r="L429" s="70">
        <f ca="1">IF(K429&gt;0,入力設定!$B$9,0)</f>
        <v>0</v>
      </c>
      <c r="M429" s="70">
        <f t="shared" ca="1" si="136"/>
        <v>0</v>
      </c>
      <c r="N429" s="70">
        <f ca="1">IF(M429+AA429&lt;0.000001,0,IF(AND(K429&gt;0,入力設定!$B$8="期間短縮型",AA429&lt;0.000001,F429&gt;M429*C429/12),MAX(1,MIN(E429-1,IF(C429=0,ROUNDUP(M429/F429,0),ROUNDUP(-LN(1-M429*(C429/12)/F429)/LN(1+C429/12),0)))),MAX(1,E429-1)))</f>
        <v>0</v>
      </c>
      <c r="O429" s="70">
        <f t="shared" ca="1" si="137"/>
        <v>0</v>
      </c>
      <c r="P429" s="70">
        <f t="shared" ca="1" si="151"/>
        <v>0</v>
      </c>
      <c r="Q429" s="70">
        <f ca="1">IF(OR(A429&gt;入力設定!$B$6*12,P429+AC429&lt;0.000001),0,IF(P429&lt;0.000001,Q428,IF(AE429=1,IF(C429=0,P429/MAX(1,入力設定!$B$6*12-A429+1),P429*(C429/12)/(1-(1+C429/12)^(-MAX(1,入力設定!$B$6*12-A429+1)))),Q428)))</f>
        <v>0</v>
      </c>
      <c r="R429" s="70">
        <f ca="1">IF(P429+AC429&lt;0.000001,0,IF(A429=入力設定!$B$6*12,P429+AB429+AC429,MIN(Q429,P429+AB429+AC429)))</f>
        <v>0</v>
      </c>
      <c r="S429" s="70">
        <f t="shared" ca="1" si="138"/>
        <v>0</v>
      </c>
      <c r="T429" s="70">
        <f t="shared" ca="1" si="139"/>
        <v>0</v>
      </c>
      <c r="U429" s="70">
        <f t="shared" ca="1" si="140"/>
        <v>0</v>
      </c>
      <c r="V429" s="70">
        <f t="shared" ca="1" si="141"/>
        <v>0</v>
      </c>
      <c r="W429" s="70">
        <f t="shared" ca="1" si="142"/>
        <v>0</v>
      </c>
      <c r="X429" s="70">
        <f t="shared" ca="1" si="143"/>
        <v>0</v>
      </c>
      <c r="Y429" s="71">
        <f t="shared" ca="1" si="144"/>
        <v>0</v>
      </c>
      <c r="Z429" s="71">
        <f t="shared" ca="1" si="152"/>
        <v>0</v>
      </c>
      <c r="AA429" s="71">
        <f t="shared" ca="1" si="145"/>
        <v>0</v>
      </c>
      <c r="AB429" s="71">
        <f t="shared" ca="1" si="146"/>
        <v>0</v>
      </c>
      <c r="AC429" s="71">
        <f t="shared" ca="1" si="153"/>
        <v>0</v>
      </c>
      <c r="AD429" s="71">
        <f t="shared" ca="1" si="147"/>
        <v>0</v>
      </c>
      <c r="AE429" s="72">
        <f t="shared" si="148"/>
        <v>0</v>
      </c>
      <c r="AF429" s="73">
        <f>IF(A429&gt;入力設定!$B$6*12,0,IF(AND(ISNUMBER(C429),C429&gt;=0,C429&lt;=1),0,1))</f>
        <v>0</v>
      </c>
    </row>
    <row r="430" spans="1:32" ht="21" customHeight="1">
      <c r="A430" s="68">
        <f>425</f>
        <v>425</v>
      </c>
      <c r="B430" s="69">
        <f>EDATE(入力設定!$B$7,A430-1)</f>
        <v>59231</v>
      </c>
      <c r="C430" s="80">
        <f>INDEX(入力設定!$C$15:$C$24,INT((A430-1)/60)+1)</f>
        <v>0.05</v>
      </c>
      <c r="D430" s="70">
        <f t="shared" ca="1" si="149"/>
        <v>0</v>
      </c>
      <c r="E430" s="70">
        <f t="shared" ca="1" si="150"/>
        <v>0</v>
      </c>
      <c r="F430" s="70">
        <f ca="1">IF(D430+Z430&lt;0.000001,0,IF(D430&lt;0.000001,F429,IF(OR(AE430=1,AND(K429&gt;0,入力設定!$B$8="返済額軽減型",入力設定!$B$11="翌月")),IF(C430=0,D430/MAX(1,E430),D430*(C430/12)/(1-(1+C430/12)^(-MAX(1,E430)))),F429)))</f>
        <v>0</v>
      </c>
      <c r="G430" s="70">
        <f t="shared" ca="1" si="132"/>
        <v>0</v>
      </c>
      <c r="H430" s="70">
        <f t="shared" ca="1" si="133"/>
        <v>0</v>
      </c>
      <c r="I430" s="70">
        <f t="shared" ca="1" si="134"/>
        <v>0</v>
      </c>
      <c r="J430" s="70">
        <f>SUMIFS(入力設定!$G$5:$G$24,入力設定!$F$5:$F$24,A430)</f>
        <v>0</v>
      </c>
      <c r="K430" s="70">
        <f t="shared" ca="1" si="135"/>
        <v>0</v>
      </c>
      <c r="L430" s="70">
        <f ca="1">IF(K430&gt;0,入力設定!$B$9,0)</f>
        <v>0</v>
      </c>
      <c r="M430" s="70">
        <f t="shared" ca="1" si="136"/>
        <v>0</v>
      </c>
      <c r="N430" s="70">
        <f ca="1">IF(M430+AA430&lt;0.000001,0,IF(AND(K430&gt;0,入力設定!$B$8="期間短縮型",AA430&lt;0.000001,F430&gt;M430*C430/12),MAX(1,MIN(E430-1,IF(C430=0,ROUNDUP(M430/F430,0),ROUNDUP(-LN(1-M430*(C430/12)/F430)/LN(1+C430/12),0)))),MAX(1,E430-1)))</f>
        <v>0</v>
      </c>
      <c r="O430" s="70">
        <f t="shared" ca="1" si="137"/>
        <v>0</v>
      </c>
      <c r="P430" s="70">
        <f t="shared" ca="1" si="151"/>
        <v>0</v>
      </c>
      <c r="Q430" s="70">
        <f ca="1">IF(OR(A430&gt;入力設定!$B$6*12,P430+AC430&lt;0.000001),0,IF(P430&lt;0.000001,Q429,IF(AE430=1,IF(C430=0,P430/MAX(1,入力設定!$B$6*12-A430+1),P430*(C430/12)/(1-(1+C430/12)^(-MAX(1,入力設定!$B$6*12-A430+1)))),Q429)))</f>
        <v>0</v>
      </c>
      <c r="R430" s="70">
        <f ca="1">IF(P430+AC430&lt;0.000001,0,IF(A430=入力設定!$B$6*12,P430+AB430+AC430,MIN(Q430,P430+AB430+AC430)))</f>
        <v>0</v>
      </c>
      <c r="S430" s="70">
        <f t="shared" ca="1" si="138"/>
        <v>0</v>
      </c>
      <c r="T430" s="70">
        <f t="shared" ca="1" si="139"/>
        <v>0</v>
      </c>
      <c r="U430" s="70">
        <f t="shared" ca="1" si="140"/>
        <v>0</v>
      </c>
      <c r="V430" s="70">
        <f t="shared" ca="1" si="141"/>
        <v>0</v>
      </c>
      <c r="W430" s="70">
        <f t="shared" ca="1" si="142"/>
        <v>0</v>
      </c>
      <c r="X430" s="70">
        <f t="shared" ca="1" si="143"/>
        <v>0</v>
      </c>
      <c r="Y430" s="71">
        <f t="shared" ca="1" si="144"/>
        <v>0</v>
      </c>
      <c r="Z430" s="71">
        <f t="shared" ca="1" si="152"/>
        <v>0</v>
      </c>
      <c r="AA430" s="71">
        <f t="shared" ca="1" si="145"/>
        <v>0</v>
      </c>
      <c r="AB430" s="71">
        <f t="shared" ca="1" si="146"/>
        <v>0</v>
      </c>
      <c r="AC430" s="71">
        <f t="shared" ca="1" si="153"/>
        <v>0</v>
      </c>
      <c r="AD430" s="71">
        <f t="shared" ca="1" si="147"/>
        <v>0</v>
      </c>
      <c r="AE430" s="72">
        <f t="shared" si="148"/>
        <v>0</v>
      </c>
      <c r="AF430" s="73">
        <f>IF(A430&gt;入力設定!$B$6*12,0,IF(AND(ISNUMBER(C430),C430&gt;=0,C430&lt;=1),0,1))</f>
        <v>0</v>
      </c>
    </row>
    <row r="431" spans="1:32" ht="21" customHeight="1">
      <c r="A431" s="68">
        <f>426</f>
        <v>426</v>
      </c>
      <c r="B431" s="69">
        <f>EDATE(入力設定!$B$7,A431-1)</f>
        <v>59262</v>
      </c>
      <c r="C431" s="80">
        <f>INDEX(入力設定!$C$15:$C$24,INT((A431-1)/60)+1)</f>
        <v>0.05</v>
      </c>
      <c r="D431" s="70">
        <f t="shared" ca="1" si="149"/>
        <v>0</v>
      </c>
      <c r="E431" s="70">
        <f t="shared" ca="1" si="150"/>
        <v>0</v>
      </c>
      <c r="F431" s="70">
        <f ca="1">IF(D431+Z431&lt;0.000001,0,IF(D431&lt;0.000001,F430,IF(OR(AE431=1,AND(K430&gt;0,入力設定!$B$8="返済額軽減型",入力設定!$B$11="翌月")),IF(C431=0,D431/MAX(1,E431),D431*(C431/12)/(1-(1+C431/12)^(-MAX(1,E431)))),F430)))</f>
        <v>0</v>
      </c>
      <c r="G431" s="70">
        <f t="shared" ca="1" si="132"/>
        <v>0</v>
      </c>
      <c r="H431" s="70">
        <f t="shared" ca="1" si="133"/>
        <v>0</v>
      </c>
      <c r="I431" s="70">
        <f t="shared" ca="1" si="134"/>
        <v>0</v>
      </c>
      <c r="J431" s="70">
        <f>SUMIFS(入力設定!$G$5:$G$24,入力設定!$F$5:$F$24,A431)</f>
        <v>0</v>
      </c>
      <c r="K431" s="70">
        <f t="shared" ca="1" si="135"/>
        <v>0</v>
      </c>
      <c r="L431" s="70">
        <f ca="1">IF(K431&gt;0,入力設定!$B$9,0)</f>
        <v>0</v>
      </c>
      <c r="M431" s="70">
        <f t="shared" ca="1" si="136"/>
        <v>0</v>
      </c>
      <c r="N431" s="70">
        <f ca="1">IF(M431+AA431&lt;0.000001,0,IF(AND(K431&gt;0,入力設定!$B$8="期間短縮型",AA431&lt;0.000001,F431&gt;M431*C431/12),MAX(1,MIN(E431-1,IF(C431=0,ROUNDUP(M431/F431,0),ROUNDUP(-LN(1-M431*(C431/12)/F431)/LN(1+C431/12),0)))),MAX(1,E431-1)))</f>
        <v>0</v>
      </c>
      <c r="O431" s="70">
        <f t="shared" ca="1" si="137"/>
        <v>0</v>
      </c>
      <c r="P431" s="70">
        <f t="shared" ca="1" si="151"/>
        <v>0</v>
      </c>
      <c r="Q431" s="70">
        <f ca="1">IF(OR(A431&gt;入力設定!$B$6*12,P431+AC431&lt;0.000001),0,IF(P431&lt;0.000001,Q430,IF(AE431=1,IF(C431=0,P431/MAX(1,入力設定!$B$6*12-A431+1),P431*(C431/12)/(1-(1+C431/12)^(-MAX(1,入力設定!$B$6*12-A431+1)))),Q430)))</f>
        <v>0</v>
      </c>
      <c r="R431" s="70">
        <f ca="1">IF(P431+AC431&lt;0.000001,0,IF(A431=入力設定!$B$6*12,P431+AB431+AC431,MIN(Q431,P431+AB431+AC431)))</f>
        <v>0</v>
      </c>
      <c r="S431" s="70">
        <f t="shared" ca="1" si="138"/>
        <v>0</v>
      </c>
      <c r="T431" s="70">
        <f t="shared" ca="1" si="139"/>
        <v>0</v>
      </c>
      <c r="U431" s="70">
        <f t="shared" ca="1" si="140"/>
        <v>0</v>
      </c>
      <c r="V431" s="70">
        <f t="shared" ca="1" si="141"/>
        <v>0</v>
      </c>
      <c r="W431" s="70">
        <f t="shared" ca="1" si="142"/>
        <v>0</v>
      </c>
      <c r="X431" s="70">
        <f t="shared" ca="1" si="143"/>
        <v>0</v>
      </c>
      <c r="Y431" s="71">
        <f t="shared" ca="1" si="144"/>
        <v>0</v>
      </c>
      <c r="Z431" s="71">
        <f t="shared" ca="1" si="152"/>
        <v>0</v>
      </c>
      <c r="AA431" s="71">
        <f t="shared" ca="1" si="145"/>
        <v>0</v>
      </c>
      <c r="AB431" s="71">
        <f t="shared" ca="1" si="146"/>
        <v>0</v>
      </c>
      <c r="AC431" s="71">
        <f t="shared" ca="1" si="153"/>
        <v>0</v>
      </c>
      <c r="AD431" s="71">
        <f t="shared" ca="1" si="147"/>
        <v>0</v>
      </c>
      <c r="AE431" s="72">
        <f t="shared" si="148"/>
        <v>0</v>
      </c>
      <c r="AF431" s="73">
        <f>IF(A431&gt;入力設定!$B$6*12,0,IF(AND(ISNUMBER(C431),C431&gt;=0,C431&lt;=1),0,1))</f>
        <v>0</v>
      </c>
    </row>
    <row r="432" spans="1:32" ht="21" customHeight="1">
      <c r="A432" s="68">
        <f>427</f>
        <v>427</v>
      </c>
      <c r="B432" s="69">
        <f>EDATE(入力設定!$B$7,A432-1)</f>
        <v>59292</v>
      </c>
      <c r="C432" s="80">
        <f>INDEX(入力設定!$C$15:$C$24,INT((A432-1)/60)+1)</f>
        <v>0.05</v>
      </c>
      <c r="D432" s="70">
        <f t="shared" ca="1" si="149"/>
        <v>0</v>
      </c>
      <c r="E432" s="70">
        <f t="shared" ca="1" si="150"/>
        <v>0</v>
      </c>
      <c r="F432" s="70">
        <f ca="1">IF(D432+Z432&lt;0.000001,0,IF(D432&lt;0.000001,F431,IF(OR(AE432=1,AND(K431&gt;0,入力設定!$B$8="返済額軽減型",入力設定!$B$11="翌月")),IF(C432=0,D432/MAX(1,E432),D432*(C432/12)/(1-(1+C432/12)^(-MAX(1,E432)))),F431)))</f>
        <v>0</v>
      </c>
      <c r="G432" s="70">
        <f t="shared" ca="1" si="132"/>
        <v>0</v>
      </c>
      <c r="H432" s="70">
        <f t="shared" ca="1" si="133"/>
        <v>0</v>
      </c>
      <c r="I432" s="70">
        <f t="shared" ca="1" si="134"/>
        <v>0</v>
      </c>
      <c r="J432" s="70">
        <f>SUMIFS(入力設定!$G$5:$G$24,入力設定!$F$5:$F$24,A432)</f>
        <v>0</v>
      </c>
      <c r="K432" s="70">
        <f t="shared" ca="1" si="135"/>
        <v>0</v>
      </c>
      <c r="L432" s="70">
        <f ca="1">IF(K432&gt;0,入力設定!$B$9,0)</f>
        <v>0</v>
      </c>
      <c r="M432" s="70">
        <f t="shared" ca="1" si="136"/>
        <v>0</v>
      </c>
      <c r="N432" s="70">
        <f ca="1">IF(M432+AA432&lt;0.000001,0,IF(AND(K432&gt;0,入力設定!$B$8="期間短縮型",AA432&lt;0.000001,F432&gt;M432*C432/12),MAX(1,MIN(E432-1,IF(C432=0,ROUNDUP(M432/F432,0),ROUNDUP(-LN(1-M432*(C432/12)/F432)/LN(1+C432/12),0)))),MAX(1,E432-1)))</f>
        <v>0</v>
      </c>
      <c r="O432" s="70">
        <f t="shared" ca="1" si="137"/>
        <v>0</v>
      </c>
      <c r="P432" s="70">
        <f t="shared" ca="1" si="151"/>
        <v>0</v>
      </c>
      <c r="Q432" s="70">
        <f ca="1">IF(OR(A432&gt;入力設定!$B$6*12,P432+AC432&lt;0.000001),0,IF(P432&lt;0.000001,Q431,IF(AE432=1,IF(C432=0,P432/MAX(1,入力設定!$B$6*12-A432+1),P432*(C432/12)/(1-(1+C432/12)^(-MAX(1,入力設定!$B$6*12-A432+1)))),Q431)))</f>
        <v>0</v>
      </c>
      <c r="R432" s="70">
        <f ca="1">IF(P432+AC432&lt;0.000001,0,IF(A432=入力設定!$B$6*12,P432+AB432+AC432,MIN(Q432,P432+AB432+AC432)))</f>
        <v>0</v>
      </c>
      <c r="S432" s="70">
        <f t="shared" ca="1" si="138"/>
        <v>0</v>
      </c>
      <c r="T432" s="70">
        <f t="shared" ca="1" si="139"/>
        <v>0</v>
      </c>
      <c r="U432" s="70">
        <f t="shared" ca="1" si="140"/>
        <v>0</v>
      </c>
      <c r="V432" s="70">
        <f t="shared" ca="1" si="141"/>
        <v>0</v>
      </c>
      <c r="W432" s="70">
        <f t="shared" ca="1" si="142"/>
        <v>0</v>
      </c>
      <c r="X432" s="70">
        <f t="shared" ca="1" si="143"/>
        <v>0</v>
      </c>
      <c r="Y432" s="71">
        <f t="shared" ca="1" si="144"/>
        <v>0</v>
      </c>
      <c r="Z432" s="71">
        <f t="shared" ca="1" si="152"/>
        <v>0</v>
      </c>
      <c r="AA432" s="71">
        <f t="shared" ca="1" si="145"/>
        <v>0</v>
      </c>
      <c r="AB432" s="71">
        <f t="shared" ca="1" si="146"/>
        <v>0</v>
      </c>
      <c r="AC432" s="71">
        <f t="shared" ca="1" si="153"/>
        <v>0</v>
      </c>
      <c r="AD432" s="71">
        <f t="shared" ca="1" si="147"/>
        <v>0</v>
      </c>
      <c r="AE432" s="72">
        <f t="shared" si="148"/>
        <v>0</v>
      </c>
      <c r="AF432" s="73">
        <f>IF(A432&gt;入力設定!$B$6*12,0,IF(AND(ISNUMBER(C432),C432&gt;=0,C432&lt;=1),0,1))</f>
        <v>0</v>
      </c>
    </row>
    <row r="433" spans="1:32" ht="21" customHeight="1">
      <c r="A433" s="68">
        <f>428</f>
        <v>428</v>
      </c>
      <c r="B433" s="69">
        <f>EDATE(入力設定!$B$7,A433-1)</f>
        <v>59323</v>
      </c>
      <c r="C433" s="80">
        <f>INDEX(入力設定!$C$15:$C$24,INT((A433-1)/60)+1)</f>
        <v>0.05</v>
      </c>
      <c r="D433" s="70">
        <f t="shared" ca="1" si="149"/>
        <v>0</v>
      </c>
      <c r="E433" s="70">
        <f t="shared" ca="1" si="150"/>
        <v>0</v>
      </c>
      <c r="F433" s="70">
        <f ca="1">IF(D433+Z433&lt;0.000001,0,IF(D433&lt;0.000001,F432,IF(OR(AE433=1,AND(K432&gt;0,入力設定!$B$8="返済額軽減型",入力設定!$B$11="翌月")),IF(C433=0,D433/MAX(1,E433),D433*(C433/12)/(1-(1+C433/12)^(-MAX(1,E433)))),F432)))</f>
        <v>0</v>
      </c>
      <c r="G433" s="70">
        <f t="shared" ca="1" si="132"/>
        <v>0</v>
      </c>
      <c r="H433" s="70">
        <f t="shared" ca="1" si="133"/>
        <v>0</v>
      </c>
      <c r="I433" s="70">
        <f t="shared" ca="1" si="134"/>
        <v>0</v>
      </c>
      <c r="J433" s="70">
        <f>SUMIFS(入力設定!$G$5:$G$24,入力設定!$F$5:$F$24,A433)</f>
        <v>0</v>
      </c>
      <c r="K433" s="70">
        <f t="shared" ca="1" si="135"/>
        <v>0</v>
      </c>
      <c r="L433" s="70">
        <f ca="1">IF(K433&gt;0,入力設定!$B$9,0)</f>
        <v>0</v>
      </c>
      <c r="M433" s="70">
        <f t="shared" ca="1" si="136"/>
        <v>0</v>
      </c>
      <c r="N433" s="70">
        <f ca="1">IF(M433+AA433&lt;0.000001,0,IF(AND(K433&gt;0,入力設定!$B$8="期間短縮型",AA433&lt;0.000001,F433&gt;M433*C433/12),MAX(1,MIN(E433-1,IF(C433=0,ROUNDUP(M433/F433,0),ROUNDUP(-LN(1-M433*(C433/12)/F433)/LN(1+C433/12),0)))),MAX(1,E433-1)))</f>
        <v>0</v>
      </c>
      <c r="O433" s="70">
        <f t="shared" ca="1" si="137"/>
        <v>0</v>
      </c>
      <c r="P433" s="70">
        <f t="shared" ca="1" si="151"/>
        <v>0</v>
      </c>
      <c r="Q433" s="70">
        <f ca="1">IF(OR(A433&gt;入力設定!$B$6*12,P433+AC433&lt;0.000001),0,IF(P433&lt;0.000001,Q432,IF(AE433=1,IF(C433=0,P433/MAX(1,入力設定!$B$6*12-A433+1),P433*(C433/12)/(1-(1+C433/12)^(-MAX(1,入力設定!$B$6*12-A433+1)))),Q432)))</f>
        <v>0</v>
      </c>
      <c r="R433" s="70">
        <f ca="1">IF(P433+AC433&lt;0.000001,0,IF(A433=入力設定!$B$6*12,P433+AB433+AC433,MIN(Q433,P433+AB433+AC433)))</f>
        <v>0</v>
      </c>
      <c r="S433" s="70">
        <f t="shared" ca="1" si="138"/>
        <v>0</v>
      </c>
      <c r="T433" s="70">
        <f t="shared" ca="1" si="139"/>
        <v>0</v>
      </c>
      <c r="U433" s="70">
        <f t="shared" ca="1" si="140"/>
        <v>0</v>
      </c>
      <c r="V433" s="70">
        <f t="shared" ca="1" si="141"/>
        <v>0</v>
      </c>
      <c r="W433" s="70">
        <f t="shared" ca="1" si="142"/>
        <v>0</v>
      </c>
      <c r="X433" s="70">
        <f t="shared" ca="1" si="143"/>
        <v>0</v>
      </c>
      <c r="Y433" s="71">
        <f t="shared" ca="1" si="144"/>
        <v>0</v>
      </c>
      <c r="Z433" s="71">
        <f t="shared" ca="1" si="152"/>
        <v>0</v>
      </c>
      <c r="AA433" s="71">
        <f t="shared" ca="1" si="145"/>
        <v>0</v>
      </c>
      <c r="AB433" s="71">
        <f t="shared" ca="1" si="146"/>
        <v>0</v>
      </c>
      <c r="AC433" s="71">
        <f t="shared" ca="1" si="153"/>
        <v>0</v>
      </c>
      <c r="AD433" s="71">
        <f t="shared" ca="1" si="147"/>
        <v>0</v>
      </c>
      <c r="AE433" s="72">
        <f t="shared" si="148"/>
        <v>0</v>
      </c>
      <c r="AF433" s="73">
        <f>IF(A433&gt;入力設定!$B$6*12,0,IF(AND(ISNUMBER(C433),C433&gt;=0,C433&lt;=1),0,1))</f>
        <v>0</v>
      </c>
    </row>
    <row r="434" spans="1:32" ht="21" customHeight="1">
      <c r="A434" s="68">
        <f>429</f>
        <v>429</v>
      </c>
      <c r="B434" s="69">
        <f>EDATE(入力設定!$B$7,A434-1)</f>
        <v>59353</v>
      </c>
      <c r="C434" s="80">
        <f>INDEX(入力設定!$C$15:$C$24,INT((A434-1)/60)+1)</f>
        <v>0.05</v>
      </c>
      <c r="D434" s="70">
        <f t="shared" ca="1" si="149"/>
        <v>0</v>
      </c>
      <c r="E434" s="70">
        <f t="shared" ca="1" si="150"/>
        <v>0</v>
      </c>
      <c r="F434" s="70">
        <f ca="1">IF(D434+Z434&lt;0.000001,0,IF(D434&lt;0.000001,F433,IF(OR(AE434=1,AND(K433&gt;0,入力設定!$B$8="返済額軽減型",入力設定!$B$11="翌月")),IF(C434=0,D434/MAX(1,E434),D434*(C434/12)/(1-(1+C434/12)^(-MAX(1,E434)))),F433)))</f>
        <v>0</v>
      </c>
      <c r="G434" s="70">
        <f t="shared" ca="1" si="132"/>
        <v>0</v>
      </c>
      <c r="H434" s="70">
        <f t="shared" ca="1" si="133"/>
        <v>0</v>
      </c>
      <c r="I434" s="70">
        <f t="shared" ca="1" si="134"/>
        <v>0</v>
      </c>
      <c r="J434" s="70">
        <f>SUMIFS(入力設定!$G$5:$G$24,入力設定!$F$5:$F$24,A434)</f>
        <v>0</v>
      </c>
      <c r="K434" s="70">
        <f t="shared" ca="1" si="135"/>
        <v>0</v>
      </c>
      <c r="L434" s="70">
        <f ca="1">IF(K434&gt;0,入力設定!$B$9,0)</f>
        <v>0</v>
      </c>
      <c r="M434" s="70">
        <f t="shared" ca="1" si="136"/>
        <v>0</v>
      </c>
      <c r="N434" s="70">
        <f ca="1">IF(M434+AA434&lt;0.000001,0,IF(AND(K434&gt;0,入力設定!$B$8="期間短縮型",AA434&lt;0.000001,F434&gt;M434*C434/12),MAX(1,MIN(E434-1,IF(C434=0,ROUNDUP(M434/F434,0),ROUNDUP(-LN(1-M434*(C434/12)/F434)/LN(1+C434/12),0)))),MAX(1,E434-1)))</f>
        <v>0</v>
      </c>
      <c r="O434" s="70">
        <f t="shared" ca="1" si="137"/>
        <v>0</v>
      </c>
      <c r="P434" s="70">
        <f t="shared" ca="1" si="151"/>
        <v>0</v>
      </c>
      <c r="Q434" s="70">
        <f ca="1">IF(OR(A434&gt;入力設定!$B$6*12,P434+AC434&lt;0.000001),0,IF(P434&lt;0.000001,Q433,IF(AE434=1,IF(C434=0,P434/MAX(1,入力設定!$B$6*12-A434+1),P434*(C434/12)/(1-(1+C434/12)^(-MAX(1,入力設定!$B$6*12-A434+1)))),Q433)))</f>
        <v>0</v>
      </c>
      <c r="R434" s="70">
        <f ca="1">IF(P434+AC434&lt;0.000001,0,IF(A434=入力設定!$B$6*12,P434+AB434+AC434,MIN(Q434,P434+AB434+AC434)))</f>
        <v>0</v>
      </c>
      <c r="S434" s="70">
        <f t="shared" ca="1" si="138"/>
        <v>0</v>
      </c>
      <c r="T434" s="70">
        <f t="shared" ca="1" si="139"/>
        <v>0</v>
      </c>
      <c r="U434" s="70">
        <f t="shared" ca="1" si="140"/>
        <v>0</v>
      </c>
      <c r="V434" s="70">
        <f t="shared" ca="1" si="141"/>
        <v>0</v>
      </c>
      <c r="W434" s="70">
        <f t="shared" ca="1" si="142"/>
        <v>0</v>
      </c>
      <c r="X434" s="70">
        <f t="shared" ca="1" si="143"/>
        <v>0</v>
      </c>
      <c r="Y434" s="71">
        <f t="shared" ca="1" si="144"/>
        <v>0</v>
      </c>
      <c r="Z434" s="71">
        <f t="shared" ca="1" si="152"/>
        <v>0</v>
      </c>
      <c r="AA434" s="71">
        <f t="shared" ca="1" si="145"/>
        <v>0</v>
      </c>
      <c r="AB434" s="71">
        <f t="shared" ca="1" si="146"/>
        <v>0</v>
      </c>
      <c r="AC434" s="71">
        <f t="shared" ca="1" si="153"/>
        <v>0</v>
      </c>
      <c r="AD434" s="71">
        <f t="shared" ca="1" si="147"/>
        <v>0</v>
      </c>
      <c r="AE434" s="72">
        <f t="shared" si="148"/>
        <v>0</v>
      </c>
      <c r="AF434" s="73">
        <f>IF(A434&gt;入力設定!$B$6*12,0,IF(AND(ISNUMBER(C434),C434&gt;=0,C434&lt;=1),0,1))</f>
        <v>0</v>
      </c>
    </row>
    <row r="435" spans="1:32" ht="21" customHeight="1">
      <c r="A435" s="68">
        <f>430</f>
        <v>430</v>
      </c>
      <c r="B435" s="69">
        <f>EDATE(入力設定!$B$7,A435-1)</f>
        <v>59384</v>
      </c>
      <c r="C435" s="80">
        <f>INDEX(入力設定!$C$15:$C$24,INT((A435-1)/60)+1)</f>
        <v>0.05</v>
      </c>
      <c r="D435" s="70">
        <f t="shared" ca="1" si="149"/>
        <v>0</v>
      </c>
      <c r="E435" s="70">
        <f t="shared" ca="1" si="150"/>
        <v>0</v>
      </c>
      <c r="F435" s="70">
        <f ca="1">IF(D435+Z435&lt;0.000001,0,IF(D435&lt;0.000001,F434,IF(OR(AE435=1,AND(K434&gt;0,入力設定!$B$8="返済額軽減型",入力設定!$B$11="翌月")),IF(C435=0,D435/MAX(1,E435),D435*(C435/12)/(1-(1+C435/12)^(-MAX(1,E435)))),F434)))</f>
        <v>0</v>
      </c>
      <c r="G435" s="70">
        <f t="shared" ca="1" si="132"/>
        <v>0</v>
      </c>
      <c r="H435" s="70">
        <f t="shared" ca="1" si="133"/>
        <v>0</v>
      </c>
      <c r="I435" s="70">
        <f t="shared" ca="1" si="134"/>
        <v>0</v>
      </c>
      <c r="J435" s="70">
        <f>SUMIFS(入力設定!$G$5:$G$24,入力設定!$F$5:$F$24,A435)</f>
        <v>0</v>
      </c>
      <c r="K435" s="70">
        <f t="shared" ca="1" si="135"/>
        <v>0</v>
      </c>
      <c r="L435" s="70">
        <f ca="1">IF(K435&gt;0,入力設定!$B$9,0)</f>
        <v>0</v>
      </c>
      <c r="M435" s="70">
        <f t="shared" ca="1" si="136"/>
        <v>0</v>
      </c>
      <c r="N435" s="70">
        <f ca="1">IF(M435+AA435&lt;0.000001,0,IF(AND(K435&gt;0,入力設定!$B$8="期間短縮型",AA435&lt;0.000001,F435&gt;M435*C435/12),MAX(1,MIN(E435-1,IF(C435=0,ROUNDUP(M435/F435,0),ROUNDUP(-LN(1-M435*(C435/12)/F435)/LN(1+C435/12),0)))),MAX(1,E435-1)))</f>
        <v>0</v>
      </c>
      <c r="O435" s="70">
        <f t="shared" ca="1" si="137"/>
        <v>0</v>
      </c>
      <c r="P435" s="70">
        <f t="shared" ca="1" si="151"/>
        <v>0</v>
      </c>
      <c r="Q435" s="70">
        <f ca="1">IF(OR(A435&gt;入力設定!$B$6*12,P435+AC435&lt;0.000001),0,IF(P435&lt;0.000001,Q434,IF(AE435=1,IF(C435=0,P435/MAX(1,入力設定!$B$6*12-A435+1),P435*(C435/12)/(1-(1+C435/12)^(-MAX(1,入力設定!$B$6*12-A435+1)))),Q434)))</f>
        <v>0</v>
      </c>
      <c r="R435" s="70">
        <f ca="1">IF(P435+AC435&lt;0.000001,0,IF(A435=入力設定!$B$6*12,P435+AB435+AC435,MIN(Q435,P435+AB435+AC435)))</f>
        <v>0</v>
      </c>
      <c r="S435" s="70">
        <f t="shared" ca="1" si="138"/>
        <v>0</v>
      </c>
      <c r="T435" s="70">
        <f t="shared" ca="1" si="139"/>
        <v>0</v>
      </c>
      <c r="U435" s="70">
        <f t="shared" ca="1" si="140"/>
        <v>0</v>
      </c>
      <c r="V435" s="70">
        <f t="shared" ca="1" si="141"/>
        <v>0</v>
      </c>
      <c r="W435" s="70">
        <f t="shared" ca="1" si="142"/>
        <v>0</v>
      </c>
      <c r="X435" s="70">
        <f t="shared" ca="1" si="143"/>
        <v>0</v>
      </c>
      <c r="Y435" s="71">
        <f t="shared" ca="1" si="144"/>
        <v>0</v>
      </c>
      <c r="Z435" s="71">
        <f t="shared" ca="1" si="152"/>
        <v>0</v>
      </c>
      <c r="AA435" s="71">
        <f t="shared" ca="1" si="145"/>
        <v>0</v>
      </c>
      <c r="AB435" s="71">
        <f t="shared" ca="1" si="146"/>
        <v>0</v>
      </c>
      <c r="AC435" s="71">
        <f t="shared" ca="1" si="153"/>
        <v>0</v>
      </c>
      <c r="AD435" s="71">
        <f t="shared" ca="1" si="147"/>
        <v>0</v>
      </c>
      <c r="AE435" s="72">
        <f t="shared" si="148"/>
        <v>0</v>
      </c>
      <c r="AF435" s="73">
        <f>IF(A435&gt;入力設定!$B$6*12,0,IF(AND(ISNUMBER(C435),C435&gt;=0,C435&lt;=1),0,1))</f>
        <v>0</v>
      </c>
    </row>
    <row r="436" spans="1:32" ht="21" customHeight="1">
      <c r="A436" s="68">
        <f>431</f>
        <v>431</v>
      </c>
      <c r="B436" s="69">
        <f>EDATE(入力設定!$B$7,A436-1)</f>
        <v>59415</v>
      </c>
      <c r="C436" s="80">
        <f>INDEX(入力設定!$C$15:$C$24,INT((A436-1)/60)+1)</f>
        <v>0.05</v>
      </c>
      <c r="D436" s="70">
        <f t="shared" ca="1" si="149"/>
        <v>0</v>
      </c>
      <c r="E436" s="70">
        <f t="shared" ca="1" si="150"/>
        <v>0</v>
      </c>
      <c r="F436" s="70">
        <f ca="1">IF(D436+Z436&lt;0.000001,0,IF(D436&lt;0.000001,F435,IF(OR(AE436=1,AND(K435&gt;0,入力設定!$B$8="返済額軽減型",入力設定!$B$11="翌月")),IF(C436=0,D436/MAX(1,E436),D436*(C436/12)/(1-(1+C436/12)^(-MAX(1,E436)))),F435)))</f>
        <v>0</v>
      </c>
      <c r="G436" s="70">
        <f t="shared" ca="1" si="132"/>
        <v>0</v>
      </c>
      <c r="H436" s="70">
        <f t="shared" ca="1" si="133"/>
        <v>0</v>
      </c>
      <c r="I436" s="70">
        <f t="shared" ca="1" si="134"/>
        <v>0</v>
      </c>
      <c r="J436" s="70">
        <f>SUMIFS(入力設定!$G$5:$G$24,入力設定!$F$5:$F$24,A436)</f>
        <v>0</v>
      </c>
      <c r="K436" s="70">
        <f t="shared" ca="1" si="135"/>
        <v>0</v>
      </c>
      <c r="L436" s="70">
        <f ca="1">IF(K436&gt;0,入力設定!$B$9,0)</f>
        <v>0</v>
      </c>
      <c r="M436" s="70">
        <f t="shared" ca="1" si="136"/>
        <v>0</v>
      </c>
      <c r="N436" s="70">
        <f ca="1">IF(M436+AA436&lt;0.000001,0,IF(AND(K436&gt;0,入力設定!$B$8="期間短縮型",AA436&lt;0.000001,F436&gt;M436*C436/12),MAX(1,MIN(E436-1,IF(C436=0,ROUNDUP(M436/F436,0),ROUNDUP(-LN(1-M436*(C436/12)/F436)/LN(1+C436/12),0)))),MAX(1,E436-1)))</f>
        <v>0</v>
      </c>
      <c r="O436" s="70">
        <f t="shared" ca="1" si="137"/>
        <v>0</v>
      </c>
      <c r="P436" s="70">
        <f t="shared" ca="1" si="151"/>
        <v>0</v>
      </c>
      <c r="Q436" s="70">
        <f ca="1">IF(OR(A436&gt;入力設定!$B$6*12,P436+AC436&lt;0.000001),0,IF(P436&lt;0.000001,Q435,IF(AE436=1,IF(C436=0,P436/MAX(1,入力設定!$B$6*12-A436+1),P436*(C436/12)/(1-(1+C436/12)^(-MAX(1,入力設定!$B$6*12-A436+1)))),Q435)))</f>
        <v>0</v>
      </c>
      <c r="R436" s="70">
        <f ca="1">IF(P436+AC436&lt;0.000001,0,IF(A436=入力設定!$B$6*12,P436+AB436+AC436,MIN(Q436,P436+AB436+AC436)))</f>
        <v>0</v>
      </c>
      <c r="S436" s="70">
        <f t="shared" ca="1" si="138"/>
        <v>0</v>
      </c>
      <c r="T436" s="70">
        <f t="shared" ca="1" si="139"/>
        <v>0</v>
      </c>
      <c r="U436" s="70">
        <f t="shared" ca="1" si="140"/>
        <v>0</v>
      </c>
      <c r="V436" s="70">
        <f t="shared" ca="1" si="141"/>
        <v>0</v>
      </c>
      <c r="W436" s="70">
        <f t="shared" ca="1" si="142"/>
        <v>0</v>
      </c>
      <c r="X436" s="70">
        <f t="shared" ca="1" si="143"/>
        <v>0</v>
      </c>
      <c r="Y436" s="71">
        <f t="shared" ca="1" si="144"/>
        <v>0</v>
      </c>
      <c r="Z436" s="71">
        <f t="shared" ca="1" si="152"/>
        <v>0</v>
      </c>
      <c r="AA436" s="71">
        <f t="shared" ca="1" si="145"/>
        <v>0</v>
      </c>
      <c r="AB436" s="71">
        <f t="shared" ca="1" si="146"/>
        <v>0</v>
      </c>
      <c r="AC436" s="71">
        <f t="shared" ca="1" si="153"/>
        <v>0</v>
      </c>
      <c r="AD436" s="71">
        <f t="shared" ca="1" si="147"/>
        <v>0</v>
      </c>
      <c r="AE436" s="72">
        <f t="shared" si="148"/>
        <v>0</v>
      </c>
      <c r="AF436" s="73">
        <f>IF(A436&gt;入力設定!$B$6*12,0,IF(AND(ISNUMBER(C436),C436&gt;=0,C436&lt;=1),0,1))</f>
        <v>0</v>
      </c>
    </row>
    <row r="437" spans="1:32" ht="21" customHeight="1">
      <c r="A437" s="68">
        <f>432</f>
        <v>432</v>
      </c>
      <c r="B437" s="69">
        <f>EDATE(入力設定!$B$7,A437-1)</f>
        <v>59445</v>
      </c>
      <c r="C437" s="80">
        <f>INDEX(入力設定!$C$15:$C$24,INT((A437-1)/60)+1)</f>
        <v>0.05</v>
      </c>
      <c r="D437" s="70">
        <f t="shared" ca="1" si="149"/>
        <v>0</v>
      </c>
      <c r="E437" s="70">
        <f t="shared" ca="1" si="150"/>
        <v>0</v>
      </c>
      <c r="F437" s="70">
        <f ca="1">IF(D437+Z437&lt;0.000001,0,IF(D437&lt;0.000001,F436,IF(OR(AE437=1,AND(K436&gt;0,入力設定!$B$8="返済額軽減型",入力設定!$B$11="翌月")),IF(C437=0,D437/MAX(1,E437),D437*(C437/12)/(1-(1+C437/12)^(-MAX(1,E437)))),F436)))</f>
        <v>0</v>
      </c>
      <c r="G437" s="70">
        <f t="shared" ca="1" si="132"/>
        <v>0</v>
      </c>
      <c r="H437" s="70">
        <f t="shared" ca="1" si="133"/>
        <v>0</v>
      </c>
      <c r="I437" s="70">
        <f t="shared" ca="1" si="134"/>
        <v>0</v>
      </c>
      <c r="J437" s="70">
        <f>SUMIFS(入力設定!$G$5:$G$24,入力設定!$F$5:$F$24,A437)</f>
        <v>0</v>
      </c>
      <c r="K437" s="70">
        <f t="shared" ca="1" si="135"/>
        <v>0</v>
      </c>
      <c r="L437" s="70">
        <f ca="1">IF(K437&gt;0,入力設定!$B$9,0)</f>
        <v>0</v>
      </c>
      <c r="M437" s="70">
        <f t="shared" ca="1" si="136"/>
        <v>0</v>
      </c>
      <c r="N437" s="70">
        <f ca="1">IF(M437+AA437&lt;0.000001,0,IF(AND(K437&gt;0,入力設定!$B$8="期間短縮型",AA437&lt;0.000001,F437&gt;M437*C437/12),MAX(1,MIN(E437-1,IF(C437=0,ROUNDUP(M437/F437,0),ROUNDUP(-LN(1-M437*(C437/12)/F437)/LN(1+C437/12),0)))),MAX(1,E437-1)))</f>
        <v>0</v>
      </c>
      <c r="O437" s="70">
        <f t="shared" ca="1" si="137"/>
        <v>0</v>
      </c>
      <c r="P437" s="70">
        <f t="shared" ca="1" si="151"/>
        <v>0</v>
      </c>
      <c r="Q437" s="70">
        <f ca="1">IF(OR(A437&gt;入力設定!$B$6*12,P437+AC437&lt;0.000001),0,IF(P437&lt;0.000001,Q436,IF(AE437=1,IF(C437=0,P437/MAX(1,入力設定!$B$6*12-A437+1),P437*(C437/12)/(1-(1+C437/12)^(-MAX(1,入力設定!$B$6*12-A437+1)))),Q436)))</f>
        <v>0</v>
      </c>
      <c r="R437" s="70">
        <f ca="1">IF(P437+AC437&lt;0.000001,0,IF(A437=入力設定!$B$6*12,P437+AB437+AC437,MIN(Q437,P437+AB437+AC437)))</f>
        <v>0</v>
      </c>
      <c r="S437" s="70">
        <f t="shared" ca="1" si="138"/>
        <v>0</v>
      </c>
      <c r="T437" s="70">
        <f t="shared" ca="1" si="139"/>
        <v>0</v>
      </c>
      <c r="U437" s="70">
        <f t="shared" ca="1" si="140"/>
        <v>0</v>
      </c>
      <c r="V437" s="70">
        <f t="shared" ca="1" si="141"/>
        <v>0</v>
      </c>
      <c r="W437" s="70">
        <f t="shared" ca="1" si="142"/>
        <v>0</v>
      </c>
      <c r="X437" s="70">
        <f t="shared" ca="1" si="143"/>
        <v>0</v>
      </c>
      <c r="Y437" s="71">
        <f t="shared" ca="1" si="144"/>
        <v>0</v>
      </c>
      <c r="Z437" s="71">
        <f t="shared" ca="1" si="152"/>
        <v>0</v>
      </c>
      <c r="AA437" s="71">
        <f t="shared" ca="1" si="145"/>
        <v>0</v>
      </c>
      <c r="AB437" s="71">
        <f t="shared" ca="1" si="146"/>
        <v>0</v>
      </c>
      <c r="AC437" s="71">
        <f t="shared" ca="1" si="153"/>
        <v>0</v>
      </c>
      <c r="AD437" s="71">
        <f t="shared" ca="1" si="147"/>
        <v>0</v>
      </c>
      <c r="AE437" s="72">
        <f t="shared" si="148"/>
        <v>0</v>
      </c>
      <c r="AF437" s="73">
        <f>IF(A437&gt;入力設定!$B$6*12,0,IF(AND(ISNUMBER(C437),C437&gt;=0,C437&lt;=1),0,1))</f>
        <v>0</v>
      </c>
    </row>
    <row r="438" spans="1:32" ht="21" customHeight="1">
      <c r="A438" s="68">
        <f>433</f>
        <v>433</v>
      </c>
      <c r="B438" s="69">
        <f>EDATE(入力設定!$B$7,A438-1)</f>
        <v>59476</v>
      </c>
      <c r="C438" s="80">
        <f>INDEX(入力設定!$C$15:$C$24,INT((A438-1)/60)+1)</f>
        <v>0.05</v>
      </c>
      <c r="D438" s="70">
        <f t="shared" ca="1" si="149"/>
        <v>0</v>
      </c>
      <c r="E438" s="70">
        <f t="shared" ca="1" si="150"/>
        <v>0</v>
      </c>
      <c r="F438" s="70">
        <f ca="1">IF(D438+Z438&lt;0.000001,0,IF(D438&lt;0.000001,F437,IF(OR(AE438=1,AND(K437&gt;0,入力設定!$B$8="返済額軽減型",入力設定!$B$11="翌月")),IF(C438=0,D438/MAX(1,E438),D438*(C438/12)/(1-(1+C438/12)^(-MAX(1,E438)))),F437)))</f>
        <v>0</v>
      </c>
      <c r="G438" s="70">
        <f t="shared" ca="1" si="132"/>
        <v>0</v>
      </c>
      <c r="H438" s="70">
        <f t="shared" ca="1" si="133"/>
        <v>0</v>
      </c>
      <c r="I438" s="70">
        <f t="shared" ca="1" si="134"/>
        <v>0</v>
      </c>
      <c r="J438" s="70">
        <f>SUMIFS(入力設定!$G$5:$G$24,入力設定!$F$5:$F$24,A438)</f>
        <v>0</v>
      </c>
      <c r="K438" s="70">
        <f t="shared" ca="1" si="135"/>
        <v>0</v>
      </c>
      <c r="L438" s="70">
        <f ca="1">IF(K438&gt;0,入力設定!$B$9,0)</f>
        <v>0</v>
      </c>
      <c r="M438" s="70">
        <f t="shared" ca="1" si="136"/>
        <v>0</v>
      </c>
      <c r="N438" s="70">
        <f ca="1">IF(M438+AA438&lt;0.000001,0,IF(AND(K438&gt;0,入力設定!$B$8="期間短縮型",AA438&lt;0.000001,F438&gt;M438*C438/12),MAX(1,MIN(E438-1,IF(C438=0,ROUNDUP(M438/F438,0),ROUNDUP(-LN(1-M438*(C438/12)/F438)/LN(1+C438/12),0)))),MAX(1,E438-1)))</f>
        <v>0</v>
      </c>
      <c r="O438" s="70">
        <f t="shared" ca="1" si="137"/>
        <v>0</v>
      </c>
      <c r="P438" s="70">
        <f t="shared" ca="1" si="151"/>
        <v>0</v>
      </c>
      <c r="Q438" s="70">
        <f ca="1">IF(OR(A438&gt;入力設定!$B$6*12,P438+AC438&lt;0.000001),0,IF(P438&lt;0.000001,Q437,IF(AE438=1,IF(C438=0,P438/MAX(1,入力設定!$B$6*12-A438+1),P438*(C438/12)/(1-(1+C438/12)^(-MAX(1,入力設定!$B$6*12-A438+1)))),Q437)))</f>
        <v>0</v>
      </c>
      <c r="R438" s="70">
        <f ca="1">IF(P438+AC438&lt;0.000001,0,IF(A438=入力設定!$B$6*12,P438+AB438+AC438,MIN(Q438,P438+AB438+AC438)))</f>
        <v>0</v>
      </c>
      <c r="S438" s="70">
        <f t="shared" ca="1" si="138"/>
        <v>0</v>
      </c>
      <c r="T438" s="70">
        <f t="shared" ca="1" si="139"/>
        <v>0</v>
      </c>
      <c r="U438" s="70">
        <f t="shared" ca="1" si="140"/>
        <v>0</v>
      </c>
      <c r="V438" s="70">
        <f t="shared" ca="1" si="141"/>
        <v>0</v>
      </c>
      <c r="W438" s="70">
        <f t="shared" ca="1" si="142"/>
        <v>0</v>
      </c>
      <c r="X438" s="70">
        <f t="shared" ca="1" si="143"/>
        <v>0</v>
      </c>
      <c r="Y438" s="71">
        <f t="shared" ca="1" si="144"/>
        <v>0</v>
      </c>
      <c r="Z438" s="71">
        <f t="shared" ca="1" si="152"/>
        <v>0</v>
      </c>
      <c r="AA438" s="71">
        <f t="shared" ca="1" si="145"/>
        <v>0</v>
      </c>
      <c r="AB438" s="71">
        <f t="shared" ca="1" si="146"/>
        <v>0</v>
      </c>
      <c r="AC438" s="71">
        <f t="shared" ca="1" si="153"/>
        <v>0</v>
      </c>
      <c r="AD438" s="71">
        <f t="shared" ca="1" si="147"/>
        <v>0</v>
      </c>
      <c r="AE438" s="72">
        <f t="shared" si="148"/>
        <v>0</v>
      </c>
      <c r="AF438" s="73">
        <f>IF(A438&gt;入力設定!$B$6*12,0,IF(AND(ISNUMBER(C438),C438&gt;=0,C438&lt;=1),0,1))</f>
        <v>0</v>
      </c>
    </row>
    <row r="439" spans="1:32" ht="21" customHeight="1">
      <c r="A439" s="68">
        <f>434</f>
        <v>434</v>
      </c>
      <c r="B439" s="69">
        <f>EDATE(入力設定!$B$7,A439-1)</f>
        <v>59506</v>
      </c>
      <c r="C439" s="80">
        <f>INDEX(入力設定!$C$15:$C$24,INT((A439-1)/60)+1)</f>
        <v>0.05</v>
      </c>
      <c r="D439" s="70">
        <f t="shared" ca="1" si="149"/>
        <v>0</v>
      </c>
      <c r="E439" s="70">
        <f t="shared" ca="1" si="150"/>
        <v>0</v>
      </c>
      <c r="F439" s="70">
        <f ca="1">IF(D439+Z439&lt;0.000001,0,IF(D439&lt;0.000001,F438,IF(OR(AE439=1,AND(K438&gt;0,入力設定!$B$8="返済額軽減型",入力設定!$B$11="翌月")),IF(C439=0,D439/MAX(1,E439),D439*(C439/12)/(1-(1+C439/12)^(-MAX(1,E439)))),F438)))</f>
        <v>0</v>
      </c>
      <c r="G439" s="70">
        <f t="shared" ca="1" si="132"/>
        <v>0</v>
      </c>
      <c r="H439" s="70">
        <f t="shared" ca="1" si="133"/>
        <v>0</v>
      </c>
      <c r="I439" s="70">
        <f t="shared" ca="1" si="134"/>
        <v>0</v>
      </c>
      <c r="J439" s="70">
        <f>SUMIFS(入力設定!$G$5:$G$24,入力設定!$F$5:$F$24,A439)</f>
        <v>0</v>
      </c>
      <c r="K439" s="70">
        <f t="shared" ca="1" si="135"/>
        <v>0</v>
      </c>
      <c r="L439" s="70">
        <f ca="1">IF(K439&gt;0,入力設定!$B$9,0)</f>
        <v>0</v>
      </c>
      <c r="M439" s="70">
        <f t="shared" ca="1" si="136"/>
        <v>0</v>
      </c>
      <c r="N439" s="70">
        <f ca="1">IF(M439+AA439&lt;0.000001,0,IF(AND(K439&gt;0,入力設定!$B$8="期間短縮型",AA439&lt;0.000001,F439&gt;M439*C439/12),MAX(1,MIN(E439-1,IF(C439=0,ROUNDUP(M439/F439,0),ROUNDUP(-LN(1-M439*(C439/12)/F439)/LN(1+C439/12),0)))),MAX(1,E439-1)))</f>
        <v>0</v>
      </c>
      <c r="O439" s="70">
        <f t="shared" ca="1" si="137"/>
        <v>0</v>
      </c>
      <c r="P439" s="70">
        <f t="shared" ca="1" si="151"/>
        <v>0</v>
      </c>
      <c r="Q439" s="70">
        <f ca="1">IF(OR(A439&gt;入力設定!$B$6*12,P439+AC439&lt;0.000001),0,IF(P439&lt;0.000001,Q438,IF(AE439=1,IF(C439=0,P439/MAX(1,入力設定!$B$6*12-A439+1),P439*(C439/12)/(1-(1+C439/12)^(-MAX(1,入力設定!$B$6*12-A439+1)))),Q438)))</f>
        <v>0</v>
      </c>
      <c r="R439" s="70">
        <f ca="1">IF(P439+AC439&lt;0.000001,0,IF(A439=入力設定!$B$6*12,P439+AB439+AC439,MIN(Q439,P439+AB439+AC439)))</f>
        <v>0</v>
      </c>
      <c r="S439" s="70">
        <f t="shared" ca="1" si="138"/>
        <v>0</v>
      </c>
      <c r="T439" s="70">
        <f t="shared" ca="1" si="139"/>
        <v>0</v>
      </c>
      <c r="U439" s="70">
        <f t="shared" ca="1" si="140"/>
        <v>0</v>
      </c>
      <c r="V439" s="70">
        <f t="shared" ca="1" si="141"/>
        <v>0</v>
      </c>
      <c r="W439" s="70">
        <f t="shared" ca="1" si="142"/>
        <v>0</v>
      </c>
      <c r="X439" s="70">
        <f t="shared" ca="1" si="143"/>
        <v>0</v>
      </c>
      <c r="Y439" s="71">
        <f t="shared" ca="1" si="144"/>
        <v>0</v>
      </c>
      <c r="Z439" s="71">
        <f t="shared" ca="1" si="152"/>
        <v>0</v>
      </c>
      <c r="AA439" s="71">
        <f t="shared" ca="1" si="145"/>
        <v>0</v>
      </c>
      <c r="AB439" s="71">
        <f t="shared" ca="1" si="146"/>
        <v>0</v>
      </c>
      <c r="AC439" s="71">
        <f t="shared" ca="1" si="153"/>
        <v>0</v>
      </c>
      <c r="AD439" s="71">
        <f t="shared" ca="1" si="147"/>
        <v>0</v>
      </c>
      <c r="AE439" s="72">
        <f t="shared" si="148"/>
        <v>0</v>
      </c>
      <c r="AF439" s="73">
        <f>IF(A439&gt;入力設定!$B$6*12,0,IF(AND(ISNUMBER(C439),C439&gt;=0,C439&lt;=1),0,1))</f>
        <v>0</v>
      </c>
    </row>
    <row r="440" spans="1:32" ht="21" customHeight="1">
      <c r="A440" s="68">
        <f>435</f>
        <v>435</v>
      </c>
      <c r="B440" s="69">
        <f>EDATE(入力設定!$B$7,A440-1)</f>
        <v>59537</v>
      </c>
      <c r="C440" s="80">
        <f>INDEX(入力設定!$C$15:$C$24,INT((A440-1)/60)+1)</f>
        <v>0.05</v>
      </c>
      <c r="D440" s="70">
        <f t="shared" ca="1" si="149"/>
        <v>0</v>
      </c>
      <c r="E440" s="70">
        <f t="shared" ca="1" si="150"/>
        <v>0</v>
      </c>
      <c r="F440" s="70">
        <f ca="1">IF(D440+Z440&lt;0.000001,0,IF(D440&lt;0.000001,F439,IF(OR(AE440=1,AND(K439&gt;0,入力設定!$B$8="返済額軽減型",入力設定!$B$11="翌月")),IF(C440=0,D440/MAX(1,E440),D440*(C440/12)/(1-(1+C440/12)^(-MAX(1,E440)))),F439)))</f>
        <v>0</v>
      </c>
      <c r="G440" s="70">
        <f t="shared" ca="1" si="132"/>
        <v>0</v>
      </c>
      <c r="H440" s="70">
        <f t="shared" ca="1" si="133"/>
        <v>0</v>
      </c>
      <c r="I440" s="70">
        <f t="shared" ca="1" si="134"/>
        <v>0</v>
      </c>
      <c r="J440" s="70">
        <f>SUMIFS(入力設定!$G$5:$G$24,入力設定!$F$5:$F$24,A440)</f>
        <v>0</v>
      </c>
      <c r="K440" s="70">
        <f t="shared" ca="1" si="135"/>
        <v>0</v>
      </c>
      <c r="L440" s="70">
        <f ca="1">IF(K440&gt;0,入力設定!$B$9,0)</f>
        <v>0</v>
      </c>
      <c r="M440" s="70">
        <f t="shared" ca="1" si="136"/>
        <v>0</v>
      </c>
      <c r="N440" s="70">
        <f ca="1">IF(M440+AA440&lt;0.000001,0,IF(AND(K440&gt;0,入力設定!$B$8="期間短縮型",AA440&lt;0.000001,F440&gt;M440*C440/12),MAX(1,MIN(E440-1,IF(C440=0,ROUNDUP(M440/F440,0),ROUNDUP(-LN(1-M440*(C440/12)/F440)/LN(1+C440/12),0)))),MAX(1,E440-1)))</f>
        <v>0</v>
      </c>
      <c r="O440" s="70">
        <f t="shared" ca="1" si="137"/>
        <v>0</v>
      </c>
      <c r="P440" s="70">
        <f t="shared" ca="1" si="151"/>
        <v>0</v>
      </c>
      <c r="Q440" s="70">
        <f ca="1">IF(OR(A440&gt;入力設定!$B$6*12,P440+AC440&lt;0.000001),0,IF(P440&lt;0.000001,Q439,IF(AE440=1,IF(C440=0,P440/MAX(1,入力設定!$B$6*12-A440+1),P440*(C440/12)/(1-(1+C440/12)^(-MAX(1,入力設定!$B$6*12-A440+1)))),Q439)))</f>
        <v>0</v>
      </c>
      <c r="R440" s="70">
        <f ca="1">IF(P440+AC440&lt;0.000001,0,IF(A440=入力設定!$B$6*12,P440+AB440+AC440,MIN(Q440,P440+AB440+AC440)))</f>
        <v>0</v>
      </c>
      <c r="S440" s="70">
        <f t="shared" ca="1" si="138"/>
        <v>0</v>
      </c>
      <c r="T440" s="70">
        <f t="shared" ca="1" si="139"/>
        <v>0</v>
      </c>
      <c r="U440" s="70">
        <f t="shared" ca="1" si="140"/>
        <v>0</v>
      </c>
      <c r="V440" s="70">
        <f t="shared" ca="1" si="141"/>
        <v>0</v>
      </c>
      <c r="W440" s="70">
        <f t="shared" ca="1" si="142"/>
        <v>0</v>
      </c>
      <c r="X440" s="70">
        <f t="shared" ca="1" si="143"/>
        <v>0</v>
      </c>
      <c r="Y440" s="71">
        <f t="shared" ca="1" si="144"/>
        <v>0</v>
      </c>
      <c r="Z440" s="71">
        <f t="shared" ca="1" si="152"/>
        <v>0</v>
      </c>
      <c r="AA440" s="71">
        <f t="shared" ca="1" si="145"/>
        <v>0</v>
      </c>
      <c r="AB440" s="71">
        <f t="shared" ca="1" si="146"/>
        <v>0</v>
      </c>
      <c r="AC440" s="71">
        <f t="shared" ca="1" si="153"/>
        <v>0</v>
      </c>
      <c r="AD440" s="71">
        <f t="shared" ca="1" si="147"/>
        <v>0</v>
      </c>
      <c r="AE440" s="72">
        <f t="shared" si="148"/>
        <v>0</v>
      </c>
      <c r="AF440" s="73">
        <f>IF(A440&gt;入力設定!$B$6*12,0,IF(AND(ISNUMBER(C440),C440&gt;=0,C440&lt;=1),0,1))</f>
        <v>0</v>
      </c>
    </row>
    <row r="441" spans="1:32" ht="21" customHeight="1">
      <c r="A441" s="68">
        <f>436</f>
        <v>436</v>
      </c>
      <c r="B441" s="69">
        <f>EDATE(入力設定!$B$7,A441-1)</f>
        <v>59568</v>
      </c>
      <c r="C441" s="80">
        <f>INDEX(入力設定!$C$15:$C$24,INT((A441-1)/60)+1)</f>
        <v>0.05</v>
      </c>
      <c r="D441" s="70">
        <f t="shared" ca="1" si="149"/>
        <v>0</v>
      </c>
      <c r="E441" s="70">
        <f t="shared" ca="1" si="150"/>
        <v>0</v>
      </c>
      <c r="F441" s="70">
        <f ca="1">IF(D441+Z441&lt;0.000001,0,IF(D441&lt;0.000001,F440,IF(OR(AE441=1,AND(K440&gt;0,入力設定!$B$8="返済額軽減型",入力設定!$B$11="翌月")),IF(C441=0,D441/MAX(1,E441),D441*(C441/12)/(1-(1+C441/12)^(-MAX(1,E441)))),F440)))</f>
        <v>0</v>
      </c>
      <c r="G441" s="70">
        <f t="shared" ca="1" si="132"/>
        <v>0</v>
      </c>
      <c r="H441" s="70">
        <f t="shared" ca="1" si="133"/>
        <v>0</v>
      </c>
      <c r="I441" s="70">
        <f t="shared" ca="1" si="134"/>
        <v>0</v>
      </c>
      <c r="J441" s="70">
        <f>SUMIFS(入力設定!$G$5:$G$24,入力設定!$F$5:$F$24,A441)</f>
        <v>0</v>
      </c>
      <c r="K441" s="70">
        <f t="shared" ca="1" si="135"/>
        <v>0</v>
      </c>
      <c r="L441" s="70">
        <f ca="1">IF(K441&gt;0,入力設定!$B$9,0)</f>
        <v>0</v>
      </c>
      <c r="M441" s="70">
        <f t="shared" ca="1" si="136"/>
        <v>0</v>
      </c>
      <c r="N441" s="70">
        <f ca="1">IF(M441+AA441&lt;0.000001,0,IF(AND(K441&gt;0,入力設定!$B$8="期間短縮型",AA441&lt;0.000001,F441&gt;M441*C441/12),MAX(1,MIN(E441-1,IF(C441=0,ROUNDUP(M441/F441,0),ROUNDUP(-LN(1-M441*(C441/12)/F441)/LN(1+C441/12),0)))),MAX(1,E441-1)))</f>
        <v>0</v>
      </c>
      <c r="O441" s="70">
        <f t="shared" ca="1" si="137"/>
        <v>0</v>
      </c>
      <c r="P441" s="70">
        <f t="shared" ca="1" si="151"/>
        <v>0</v>
      </c>
      <c r="Q441" s="70">
        <f ca="1">IF(OR(A441&gt;入力設定!$B$6*12,P441+AC441&lt;0.000001),0,IF(P441&lt;0.000001,Q440,IF(AE441=1,IF(C441=0,P441/MAX(1,入力設定!$B$6*12-A441+1),P441*(C441/12)/(1-(1+C441/12)^(-MAX(1,入力設定!$B$6*12-A441+1)))),Q440)))</f>
        <v>0</v>
      </c>
      <c r="R441" s="70">
        <f ca="1">IF(P441+AC441&lt;0.000001,0,IF(A441=入力設定!$B$6*12,P441+AB441+AC441,MIN(Q441,P441+AB441+AC441)))</f>
        <v>0</v>
      </c>
      <c r="S441" s="70">
        <f t="shared" ca="1" si="138"/>
        <v>0</v>
      </c>
      <c r="T441" s="70">
        <f t="shared" ca="1" si="139"/>
        <v>0</v>
      </c>
      <c r="U441" s="70">
        <f t="shared" ca="1" si="140"/>
        <v>0</v>
      </c>
      <c r="V441" s="70">
        <f t="shared" ca="1" si="141"/>
        <v>0</v>
      </c>
      <c r="W441" s="70">
        <f t="shared" ca="1" si="142"/>
        <v>0</v>
      </c>
      <c r="X441" s="70">
        <f t="shared" ca="1" si="143"/>
        <v>0</v>
      </c>
      <c r="Y441" s="71">
        <f t="shared" ca="1" si="144"/>
        <v>0</v>
      </c>
      <c r="Z441" s="71">
        <f t="shared" ca="1" si="152"/>
        <v>0</v>
      </c>
      <c r="AA441" s="71">
        <f t="shared" ca="1" si="145"/>
        <v>0</v>
      </c>
      <c r="AB441" s="71">
        <f t="shared" ca="1" si="146"/>
        <v>0</v>
      </c>
      <c r="AC441" s="71">
        <f t="shared" ca="1" si="153"/>
        <v>0</v>
      </c>
      <c r="AD441" s="71">
        <f t="shared" ca="1" si="147"/>
        <v>0</v>
      </c>
      <c r="AE441" s="72">
        <f t="shared" si="148"/>
        <v>0</v>
      </c>
      <c r="AF441" s="73">
        <f>IF(A441&gt;入力設定!$B$6*12,0,IF(AND(ISNUMBER(C441),C441&gt;=0,C441&lt;=1),0,1))</f>
        <v>0</v>
      </c>
    </row>
    <row r="442" spans="1:32" ht="21" customHeight="1">
      <c r="A442" s="68">
        <f>437</f>
        <v>437</v>
      </c>
      <c r="B442" s="69">
        <f>EDATE(入力設定!$B$7,A442-1)</f>
        <v>59596</v>
      </c>
      <c r="C442" s="80">
        <f>INDEX(入力設定!$C$15:$C$24,INT((A442-1)/60)+1)</f>
        <v>0.05</v>
      </c>
      <c r="D442" s="70">
        <f t="shared" ca="1" si="149"/>
        <v>0</v>
      </c>
      <c r="E442" s="70">
        <f t="shared" ca="1" si="150"/>
        <v>0</v>
      </c>
      <c r="F442" s="70">
        <f ca="1">IF(D442+Z442&lt;0.000001,0,IF(D442&lt;0.000001,F441,IF(OR(AE442=1,AND(K441&gt;0,入力設定!$B$8="返済額軽減型",入力設定!$B$11="翌月")),IF(C442=0,D442/MAX(1,E442),D442*(C442/12)/(1-(1+C442/12)^(-MAX(1,E442)))),F441)))</f>
        <v>0</v>
      </c>
      <c r="G442" s="70">
        <f t="shared" ca="1" si="132"/>
        <v>0</v>
      </c>
      <c r="H442" s="70">
        <f t="shared" ca="1" si="133"/>
        <v>0</v>
      </c>
      <c r="I442" s="70">
        <f t="shared" ca="1" si="134"/>
        <v>0</v>
      </c>
      <c r="J442" s="70">
        <f>SUMIFS(入力設定!$G$5:$G$24,入力設定!$F$5:$F$24,A442)</f>
        <v>0</v>
      </c>
      <c r="K442" s="70">
        <f t="shared" ca="1" si="135"/>
        <v>0</v>
      </c>
      <c r="L442" s="70">
        <f ca="1">IF(K442&gt;0,入力設定!$B$9,0)</f>
        <v>0</v>
      </c>
      <c r="M442" s="70">
        <f t="shared" ca="1" si="136"/>
        <v>0</v>
      </c>
      <c r="N442" s="70">
        <f ca="1">IF(M442+AA442&lt;0.000001,0,IF(AND(K442&gt;0,入力設定!$B$8="期間短縮型",AA442&lt;0.000001,F442&gt;M442*C442/12),MAX(1,MIN(E442-1,IF(C442=0,ROUNDUP(M442/F442,0),ROUNDUP(-LN(1-M442*(C442/12)/F442)/LN(1+C442/12),0)))),MAX(1,E442-1)))</f>
        <v>0</v>
      </c>
      <c r="O442" s="70">
        <f t="shared" ca="1" si="137"/>
        <v>0</v>
      </c>
      <c r="P442" s="70">
        <f t="shared" ca="1" si="151"/>
        <v>0</v>
      </c>
      <c r="Q442" s="70">
        <f ca="1">IF(OR(A442&gt;入力設定!$B$6*12,P442+AC442&lt;0.000001),0,IF(P442&lt;0.000001,Q441,IF(AE442=1,IF(C442=0,P442/MAX(1,入力設定!$B$6*12-A442+1),P442*(C442/12)/(1-(1+C442/12)^(-MAX(1,入力設定!$B$6*12-A442+1)))),Q441)))</f>
        <v>0</v>
      </c>
      <c r="R442" s="70">
        <f ca="1">IF(P442+AC442&lt;0.000001,0,IF(A442=入力設定!$B$6*12,P442+AB442+AC442,MIN(Q442,P442+AB442+AC442)))</f>
        <v>0</v>
      </c>
      <c r="S442" s="70">
        <f t="shared" ca="1" si="138"/>
        <v>0</v>
      </c>
      <c r="T442" s="70">
        <f t="shared" ca="1" si="139"/>
        <v>0</v>
      </c>
      <c r="U442" s="70">
        <f t="shared" ca="1" si="140"/>
        <v>0</v>
      </c>
      <c r="V442" s="70">
        <f t="shared" ca="1" si="141"/>
        <v>0</v>
      </c>
      <c r="W442" s="70">
        <f t="shared" ca="1" si="142"/>
        <v>0</v>
      </c>
      <c r="X442" s="70">
        <f t="shared" ca="1" si="143"/>
        <v>0</v>
      </c>
      <c r="Y442" s="71">
        <f t="shared" ca="1" si="144"/>
        <v>0</v>
      </c>
      <c r="Z442" s="71">
        <f t="shared" ca="1" si="152"/>
        <v>0</v>
      </c>
      <c r="AA442" s="71">
        <f t="shared" ca="1" si="145"/>
        <v>0</v>
      </c>
      <c r="AB442" s="71">
        <f t="shared" ca="1" si="146"/>
        <v>0</v>
      </c>
      <c r="AC442" s="71">
        <f t="shared" ca="1" si="153"/>
        <v>0</v>
      </c>
      <c r="AD442" s="71">
        <f t="shared" ca="1" si="147"/>
        <v>0</v>
      </c>
      <c r="AE442" s="72">
        <f t="shared" si="148"/>
        <v>0</v>
      </c>
      <c r="AF442" s="73">
        <f>IF(A442&gt;入力設定!$B$6*12,0,IF(AND(ISNUMBER(C442),C442&gt;=0,C442&lt;=1),0,1))</f>
        <v>0</v>
      </c>
    </row>
    <row r="443" spans="1:32" ht="21" customHeight="1">
      <c r="A443" s="68">
        <f>438</f>
        <v>438</v>
      </c>
      <c r="B443" s="69">
        <f>EDATE(入力設定!$B$7,A443-1)</f>
        <v>59627</v>
      </c>
      <c r="C443" s="80">
        <f>INDEX(入力設定!$C$15:$C$24,INT((A443-1)/60)+1)</f>
        <v>0.05</v>
      </c>
      <c r="D443" s="70">
        <f t="shared" ca="1" si="149"/>
        <v>0</v>
      </c>
      <c r="E443" s="70">
        <f t="shared" ca="1" si="150"/>
        <v>0</v>
      </c>
      <c r="F443" s="70">
        <f ca="1">IF(D443+Z443&lt;0.000001,0,IF(D443&lt;0.000001,F442,IF(OR(AE443=1,AND(K442&gt;0,入力設定!$B$8="返済額軽減型",入力設定!$B$11="翌月")),IF(C443=0,D443/MAX(1,E443),D443*(C443/12)/(1-(1+C443/12)^(-MAX(1,E443)))),F442)))</f>
        <v>0</v>
      </c>
      <c r="G443" s="70">
        <f t="shared" ca="1" si="132"/>
        <v>0</v>
      </c>
      <c r="H443" s="70">
        <f t="shared" ca="1" si="133"/>
        <v>0</v>
      </c>
      <c r="I443" s="70">
        <f t="shared" ca="1" si="134"/>
        <v>0</v>
      </c>
      <c r="J443" s="70">
        <f>SUMIFS(入力設定!$G$5:$G$24,入力設定!$F$5:$F$24,A443)</f>
        <v>0</v>
      </c>
      <c r="K443" s="70">
        <f t="shared" ca="1" si="135"/>
        <v>0</v>
      </c>
      <c r="L443" s="70">
        <f ca="1">IF(K443&gt;0,入力設定!$B$9,0)</f>
        <v>0</v>
      </c>
      <c r="M443" s="70">
        <f t="shared" ca="1" si="136"/>
        <v>0</v>
      </c>
      <c r="N443" s="70">
        <f ca="1">IF(M443+AA443&lt;0.000001,0,IF(AND(K443&gt;0,入力設定!$B$8="期間短縮型",AA443&lt;0.000001,F443&gt;M443*C443/12),MAX(1,MIN(E443-1,IF(C443=0,ROUNDUP(M443/F443,0),ROUNDUP(-LN(1-M443*(C443/12)/F443)/LN(1+C443/12),0)))),MAX(1,E443-1)))</f>
        <v>0</v>
      </c>
      <c r="O443" s="70">
        <f t="shared" ca="1" si="137"/>
        <v>0</v>
      </c>
      <c r="P443" s="70">
        <f t="shared" ca="1" si="151"/>
        <v>0</v>
      </c>
      <c r="Q443" s="70">
        <f ca="1">IF(OR(A443&gt;入力設定!$B$6*12,P443+AC443&lt;0.000001),0,IF(P443&lt;0.000001,Q442,IF(AE443=1,IF(C443=0,P443/MAX(1,入力設定!$B$6*12-A443+1),P443*(C443/12)/(1-(1+C443/12)^(-MAX(1,入力設定!$B$6*12-A443+1)))),Q442)))</f>
        <v>0</v>
      </c>
      <c r="R443" s="70">
        <f ca="1">IF(P443+AC443&lt;0.000001,0,IF(A443=入力設定!$B$6*12,P443+AB443+AC443,MIN(Q443,P443+AB443+AC443)))</f>
        <v>0</v>
      </c>
      <c r="S443" s="70">
        <f t="shared" ca="1" si="138"/>
        <v>0</v>
      </c>
      <c r="T443" s="70">
        <f t="shared" ca="1" si="139"/>
        <v>0</v>
      </c>
      <c r="U443" s="70">
        <f t="shared" ca="1" si="140"/>
        <v>0</v>
      </c>
      <c r="V443" s="70">
        <f t="shared" ca="1" si="141"/>
        <v>0</v>
      </c>
      <c r="W443" s="70">
        <f t="shared" ca="1" si="142"/>
        <v>0</v>
      </c>
      <c r="X443" s="70">
        <f t="shared" ca="1" si="143"/>
        <v>0</v>
      </c>
      <c r="Y443" s="71">
        <f t="shared" ca="1" si="144"/>
        <v>0</v>
      </c>
      <c r="Z443" s="71">
        <f t="shared" ca="1" si="152"/>
        <v>0</v>
      </c>
      <c r="AA443" s="71">
        <f t="shared" ca="1" si="145"/>
        <v>0</v>
      </c>
      <c r="AB443" s="71">
        <f t="shared" ca="1" si="146"/>
        <v>0</v>
      </c>
      <c r="AC443" s="71">
        <f t="shared" ca="1" si="153"/>
        <v>0</v>
      </c>
      <c r="AD443" s="71">
        <f t="shared" ca="1" si="147"/>
        <v>0</v>
      </c>
      <c r="AE443" s="72">
        <f t="shared" si="148"/>
        <v>0</v>
      </c>
      <c r="AF443" s="73">
        <f>IF(A443&gt;入力設定!$B$6*12,0,IF(AND(ISNUMBER(C443),C443&gt;=0,C443&lt;=1),0,1))</f>
        <v>0</v>
      </c>
    </row>
    <row r="444" spans="1:32" ht="21" customHeight="1">
      <c r="A444" s="68">
        <f>439</f>
        <v>439</v>
      </c>
      <c r="B444" s="69">
        <f>EDATE(入力設定!$B$7,A444-1)</f>
        <v>59657</v>
      </c>
      <c r="C444" s="80">
        <f>INDEX(入力設定!$C$15:$C$24,INT((A444-1)/60)+1)</f>
        <v>0.05</v>
      </c>
      <c r="D444" s="70">
        <f t="shared" ca="1" si="149"/>
        <v>0</v>
      </c>
      <c r="E444" s="70">
        <f t="shared" ca="1" si="150"/>
        <v>0</v>
      </c>
      <c r="F444" s="70">
        <f ca="1">IF(D444+Z444&lt;0.000001,0,IF(D444&lt;0.000001,F443,IF(OR(AE444=1,AND(K443&gt;0,入力設定!$B$8="返済額軽減型",入力設定!$B$11="翌月")),IF(C444=0,D444/MAX(1,E444),D444*(C444/12)/(1-(1+C444/12)^(-MAX(1,E444)))),F443)))</f>
        <v>0</v>
      </c>
      <c r="G444" s="70">
        <f t="shared" ca="1" si="132"/>
        <v>0</v>
      </c>
      <c r="H444" s="70">
        <f t="shared" ca="1" si="133"/>
        <v>0</v>
      </c>
      <c r="I444" s="70">
        <f t="shared" ca="1" si="134"/>
        <v>0</v>
      </c>
      <c r="J444" s="70">
        <f>SUMIFS(入力設定!$G$5:$G$24,入力設定!$F$5:$F$24,A444)</f>
        <v>0</v>
      </c>
      <c r="K444" s="70">
        <f t="shared" ca="1" si="135"/>
        <v>0</v>
      </c>
      <c r="L444" s="70">
        <f ca="1">IF(K444&gt;0,入力設定!$B$9,0)</f>
        <v>0</v>
      </c>
      <c r="M444" s="70">
        <f t="shared" ca="1" si="136"/>
        <v>0</v>
      </c>
      <c r="N444" s="70">
        <f ca="1">IF(M444+AA444&lt;0.000001,0,IF(AND(K444&gt;0,入力設定!$B$8="期間短縮型",AA444&lt;0.000001,F444&gt;M444*C444/12),MAX(1,MIN(E444-1,IF(C444=0,ROUNDUP(M444/F444,0),ROUNDUP(-LN(1-M444*(C444/12)/F444)/LN(1+C444/12),0)))),MAX(1,E444-1)))</f>
        <v>0</v>
      </c>
      <c r="O444" s="70">
        <f t="shared" ca="1" si="137"/>
        <v>0</v>
      </c>
      <c r="P444" s="70">
        <f t="shared" ca="1" si="151"/>
        <v>0</v>
      </c>
      <c r="Q444" s="70">
        <f ca="1">IF(OR(A444&gt;入力設定!$B$6*12,P444+AC444&lt;0.000001),0,IF(P444&lt;0.000001,Q443,IF(AE444=1,IF(C444=0,P444/MAX(1,入力設定!$B$6*12-A444+1),P444*(C444/12)/(1-(1+C444/12)^(-MAX(1,入力設定!$B$6*12-A444+1)))),Q443)))</f>
        <v>0</v>
      </c>
      <c r="R444" s="70">
        <f ca="1">IF(P444+AC444&lt;0.000001,0,IF(A444=入力設定!$B$6*12,P444+AB444+AC444,MIN(Q444,P444+AB444+AC444)))</f>
        <v>0</v>
      </c>
      <c r="S444" s="70">
        <f t="shared" ca="1" si="138"/>
        <v>0</v>
      </c>
      <c r="T444" s="70">
        <f t="shared" ca="1" si="139"/>
        <v>0</v>
      </c>
      <c r="U444" s="70">
        <f t="shared" ca="1" si="140"/>
        <v>0</v>
      </c>
      <c r="V444" s="70">
        <f t="shared" ca="1" si="141"/>
        <v>0</v>
      </c>
      <c r="W444" s="70">
        <f t="shared" ca="1" si="142"/>
        <v>0</v>
      </c>
      <c r="X444" s="70">
        <f t="shared" ca="1" si="143"/>
        <v>0</v>
      </c>
      <c r="Y444" s="71">
        <f t="shared" ca="1" si="144"/>
        <v>0</v>
      </c>
      <c r="Z444" s="71">
        <f t="shared" ca="1" si="152"/>
        <v>0</v>
      </c>
      <c r="AA444" s="71">
        <f t="shared" ca="1" si="145"/>
        <v>0</v>
      </c>
      <c r="AB444" s="71">
        <f t="shared" ca="1" si="146"/>
        <v>0</v>
      </c>
      <c r="AC444" s="71">
        <f t="shared" ca="1" si="153"/>
        <v>0</v>
      </c>
      <c r="AD444" s="71">
        <f t="shared" ca="1" si="147"/>
        <v>0</v>
      </c>
      <c r="AE444" s="72">
        <f t="shared" si="148"/>
        <v>0</v>
      </c>
      <c r="AF444" s="73">
        <f>IF(A444&gt;入力設定!$B$6*12,0,IF(AND(ISNUMBER(C444),C444&gt;=0,C444&lt;=1),0,1))</f>
        <v>0</v>
      </c>
    </row>
    <row r="445" spans="1:32" ht="21" customHeight="1">
      <c r="A445" s="68">
        <f>440</f>
        <v>440</v>
      </c>
      <c r="B445" s="69">
        <f>EDATE(入力設定!$B$7,A445-1)</f>
        <v>59688</v>
      </c>
      <c r="C445" s="80">
        <f>INDEX(入力設定!$C$15:$C$24,INT((A445-1)/60)+1)</f>
        <v>0.05</v>
      </c>
      <c r="D445" s="70">
        <f t="shared" ca="1" si="149"/>
        <v>0</v>
      </c>
      <c r="E445" s="70">
        <f t="shared" ca="1" si="150"/>
        <v>0</v>
      </c>
      <c r="F445" s="70">
        <f ca="1">IF(D445+Z445&lt;0.000001,0,IF(D445&lt;0.000001,F444,IF(OR(AE445=1,AND(K444&gt;0,入力設定!$B$8="返済額軽減型",入力設定!$B$11="翌月")),IF(C445=0,D445/MAX(1,E445),D445*(C445/12)/(1-(1+C445/12)^(-MAX(1,E445)))),F444)))</f>
        <v>0</v>
      </c>
      <c r="G445" s="70">
        <f t="shared" ca="1" si="132"/>
        <v>0</v>
      </c>
      <c r="H445" s="70">
        <f t="shared" ca="1" si="133"/>
        <v>0</v>
      </c>
      <c r="I445" s="70">
        <f t="shared" ca="1" si="134"/>
        <v>0</v>
      </c>
      <c r="J445" s="70">
        <f>SUMIFS(入力設定!$G$5:$G$24,入力設定!$F$5:$F$24,A445)</f>
        <v>0</v>
      </c>
      <c r="K445" s="70">
        <f t="shared" ca="1" si="135"/>
        <v>0</v>
      </c>
      <c r="L445" s="70">
        <f ca="1">IF(K445&gt;0,入力設定!$B$9,0)</f>
        <v>0</v>
      </c>
      <c r="M445" s="70">
        <f t="shared" ca="1" si="136"/>
        <v>0</v>
      </c>
      <c r="N445" s="70">
        <f ca="1">IF(M445+AA445&lt;0.000001,0,IF(AND(K445&gt;0,入力設定!$B$8="期間短縮型",AA445&lt;0.000001,F445&gt;M445*C445/12),MAX(1,MIN(E445-1,IF(C445=0,ROUNDUP(M445/F445,0),ROUNDUP(-LN(1-M445*(C445/12)/F445)/LN(1+C445/12),0)))),MAX(1,E445-1)))</f>
        <v>0</v>
      </c>
      <c r="O445" s="70">
        <f t="shared" ca="1" si="137"/>
        <v>0</v>
      </c>
      <c r="P445" s="70">
        <f t="shared" ca="1" si="151"/>
        <v>0</v>
      </c>
      <c r="Q445" s="70">
        <f ca="1">IF(OR(A445&gt;入力設定!$B$6*12,P445+AC445&lt;0.000001),0,IF(P445&lt;0.000001,Q444,IF(AE445=1,IF(C445=0,P445/MAX(1,入力設定!$B$6*12-A445+1),P445*(C445/12)/(1-(1+C445/12)^(-MAX(1,入力設定!$B$6*12-A445+1)))),Q444)))</f>
        <v>0</v>
      </c>
      <c r="R445" s="70">
        <f ca="1">IF(P445+AC445&lt;0.000001,0,IF(A445=入力設定!$B$6*12,P445+AB445+AC445,MIN(Q445,P445+AB445+AC445)))</f>
        <v>0</v>
      </c>
      <c r="S445" s="70">
        <f t="shared" ca="1" si="138"/>
        <v>0</v>
      </c>
      <c r="T445" s="70">
        <f t="shared" ca="1" si="139"/>
        <v>0</v>
      </c>
      <c r="U445" s="70">
        <f t="shared" ca="1" si="140"/>
        <v>0</v>
      </c>
      <c r="V445" s="70">
        <f t="shared" ca="1" si="141"/>
        <v>0</v>
      </c>
      <c r="W445" s="70">
        <f t="shared" ca="1" si="142"/>
        <v>0</v>
      </c>
      <c r="X445" s="70">
        <f t="shared" ca="1" si="143"/>
        <v>0</v>
      </c>
      <c r="Y445" s="71">
        <f t="shared" ca="1" si="144"/>
        <v>0</v>
      </c>
      <c r="Z445" s="71">
        <f t="shared" ca="1" si="152"/>
        <v>0</v>
      </c>
      <c r="AA445" s="71">
        <f t="shared" ca="1" si="145"/>
        <v>0</v>
      </c>
      <c r="AB445" s="71">
        <f t="shared" ca="1" si="146"/>
        <v>0</v>
      </c>
      <c r="AC445" s="71">
        <f t="shared" ca="1" si="153"/>
        <v>0</v>
      </c>
      <c r="AD445" s="71">
        <f t="shared" ca="1" si="147"/>
        <v>0</v>
      </c>
      <c r="AE445" s="72">
        <f t="shared" si="148"/>
        <v>0</v>
      </c>
      <c r="AF445" s="73">
        <f>IF(A445&gt;入力設定!$B$6*12,0,IF(AND(ISNUMBER(C445),C445&gt;=0,C445&lt;=1),0,1))</f>
        <v>0</v>
      </c>
    </row>
    <row r="446" spans="1:32" ht="21" customHeight="1">
      <c r="A446" s="68">
        <f>441</f>
        <v>441</v>
      </c>
      <c r="B446" s="69">
        <f>EDATE(入力設定!$B$7,A446-1)</f>
        <v>59718</v>
      </c>
      <c r="C446" s="80">
        <f>INDEX(入力設定!$C$15:$C$24,INT((A446-1)/60)+1)</f>
        <v>0.05</v>
      </c>
      <c r="D446" s="70">
        <f t="shared" ca="1" si="149"/>
        <v>0</v>
      </c>
      <c r="E446" s="70">
        <f t="shared" ca="1" si="150"/>
        <v>0</v>
      </c>
      <c r="F446" s="70">
        <f ca="1">IF(D446+Z446&lt;0.000001,0,IF(D446&lt;0.000001,F445,IF(OR(AE446=1,AND(K445&gt;0,入力設定!$B$8="返済額軽減型",入力設定!$B$11="翌月")),IF(C446=0,D446/MAX(1,E446),D446*(C446/12)/(1-(1+C446/12)^(-MAX(1,E446)))),F445)))</f>
        <v>0</v>
      </c>
      <c r="G446" s="70">
        <f t="shared" ca="1" si="132"/>
        <v>0</v>
      </c>
      <c r="H446" s="70">
        <f t="shared" ca="1" si="133"/>
        <v>0</v>
      </c>
      <c r="I446" s="70">
        <f t="shared" ca="1" si="134"/>
        <v>0</v>
      </c>
      <c r="J446" s="70">
        <f>SUMIFS(入力設定!$G$5:$G$24,入力設定!$F$5:$F$24,A446)</f>
        <v>0</v>
      </c>
      <c r="K446" s="70">
        <f t="shared" ca="1" si="135"/>
        <v>0</v>
      </c>
      <c r="L446" s="70">
        <f ca="1">IF(K446&gt;0,入力設定!$B$9,0)</f>
        <v>0</v>
      </c>
      <c r="M446" s="70">
        <f t="shared" ca="1" si="136"/>
        <v>0</v>
      </c>
      <c r="N446" s="70">
        <f ca="1">IF(M446+AA446&lt;0.000001,0,IF(AND(K446&gt;0,入力設定!$B$8="期間短縮型",AA446&lt;0.000001,F446&gt;M446*C446/12),MAX(1,MIN(E446-1,IF(C446=0,ROUNDUP(M446/F446,0),ROUNDUP(-LN(1-M446*(C446/12)/F446)/LN(1+C446/12),0)))),MAX(1,E446-1)))</f>
        <v>0</v>
      </c>
      <c r="O446" s="70">
        <f t="shared" ca="1" si="137"/>
        <v>0</v>
      </c>
      <c r="P446" s="70">
        <f t="shared" ca="1" si="151"/>
        <v>0</v>
      </c>
      <c r="Q446" s="70">
        <f ca="1">IF(OR(A446&gt;入力設定!$B$6*12,P446+AC446&lt;0.000001),0,IF(P446&lt;0.000001,Q445,IF(AE446=1,IF(C446=0,P446/MAX(1,入力設定!$B$6*12-A446+1),P446*(C446/12)/(1-(1+C446/12)^(-MAX(1,入力設定!$B$6*12-A446+1)))),Q445)))</f>
        <v>0</v>
      </c>
      <c r="R446" s="70">
        <f ca="1">IF(P446+AC446&lt;0.000001,0,IF(A446=入力設定!$B$6*12,P446+AB446+AC446,MIN(Q446,P446+AB446+AC446)))</f>
        <v>0</v>
      </c>
      <c r="S446" s="70">
        <f t="shared" ca="1" si="138"/>
        <v>0</v>
      </c>
      <c r="T446" s="70">
        <f t="shared" ca="1" si="139"/>
        <v>0</v>
      </c>
      <c r="U446" s="70">
        <f t="shared" ca="1" si="140"/>
        <v>0</v>
      </c>
      <c r="V446" s="70">
        <f t="shared" ca="1" si="141"/>
        <v>0</v>
      </c>
      <c r="W446" s="70">
        <f t="shared" ca="1" si="142"/>
        <v>0</v>
      </c>
      <c r="X446" s="70">
        <f t="shared" ca="1" si="143"/>
        <v>0</v>
      </c>
      <c r="Y446" s="71">
        <f t="shared" ca="1" si="144"/>
        <v>0</v>
      </c>
      <c r="Z446" s="71">
        <f t="shared" ca="1" si="152"/>
        <v>0</v>
      </c>
      <c r="AA446" s="71">
        <f t="shared" ca="1" si="145"/>
        <v>0</v>
      </c>
      <c r="AB446" s="71">
        <f t="shared" ca="1" si="146"/>
        <v>0</v>
      </c>
      <c r="AC446" s="71">
        <f t="shared" ca="1" si="153"/>
        <v>0</v>
      </c>
      <c r="AD446" s="71">
        <f t="shared" ca="1" si="147"/>
        <v>0</v>
      </c>
      <c r="AE446" s="72">
        <f t="shared" si="148"/>
        <v>0</v>
      </c>
      <c r="AF446" s="73">
        <f>IF(A446&gt;入力設定!$B$6*12,0,IF(AND(ISNUMBER(C446),C446&gt;=0,C446&lt;=1),0,1))</f>
        <v>0</v>
      </c>
    </row>
    <row r="447" spans="1:32" ht="21" customHeight="1">
      <c r="A447" s="68">
        <f>442</f>
        <v>442</v>
      </c>
      <c r="B447" s="69">
        <f>EDATE(入力設定!$B$7,A447-1)</f>
        <v>59749</v>
      </c>
      <c r="C447" s="80">
        <f>INDEX(入力設定!$C$15:$C$24,INT((A447-1)/60)+1)</f>
        <v>0.05</v>
      </c>
      <c r="D447" s="70">
        <f t="shared" ca="1" si="149"/>
        <v>0</v>
      </c>
      <c r="E447" s="70">
        <f t="shared" ca="1" si="150"/>
        <v>0</v>
      </c>
      <c r="F447" s="70">
        <f ca="1">IF(D447+Z447&lt;0.000001,0,IF(D447&lt;0.000001,F446,IF(OR(AE447=1,AND(K446&gt;0,入力設定!$B$8="返済額軽減型",入力設定!$B$11="翌月")),IF(C447=0,D447/MAX(1,E447),D447*(C447/12)/(1-(1+C447/12)^(-MAX(1,E447)))),F446)))</f>
        <v>0</v>
      </c>
      <c r="G447" s="70">
        <f t="shared" ca="1" si="132"/>
        <v>0</v>
      </c>
      <c r="H447" s="70">
        <f t="shared" ca="1" si="133"/>
        <v>0</v>
      </c>
      <c r="I447" s="70">
        <f t="shared" ca="1" si="134"/>
        <v>0</v>
      </c>
      <c r="J447" s="70">
        <f>SUMIFS(入力設定!$G$5:$G$24,入力設定!$F$5:$F$24,A447)</f>
        <v>0</v>
      </c>
      <c r="K447" s="70">
        <f t="shared" ca="1" si="135"/>
        <v>0</v>
      </c>
      <c r="L447" s="70">
        <f ca="1">IF(K447&gt;0,入力設定!$B$9,0)</f>
        <v>0</v>
      </c>
      <c r="M447" s="70">
        <f t="shared" ca="1" si="136"/>
        <v>0</v>
      </c>
      <c r="N447" s="70">
        <f ca="1">IF(M447+AA447&lt;0.000001,0,IF(AND(K447&gt;0,入力設定!$B$8="期間短縮型",AA447&lt;0.000001,F447&gt;M447*C447/12),MAX(1,MIN(E447-1,IF(C447=0,ROUNDUP(M447/F447,0),ROUNDUP(-LN(1-M447*(C447/12)/F447)/LN(1+C447/12),0)))),MAX(1,E447-1)))</f>
        <v>0</v>
      </c>
      <c r="O447" s="70">
        <f t="shared" ca="1" si="137"/>
        <v>0</v>
      </c>
      <c r="P447" s="70">
        <f t="shared" ca="1" si="151"/>
        <v>0</v>
      </c>
      <c r="Q447" s="70">
        <f ca="1">IF(OR(A447&gt;入力設定!$B$6*12,P447+AC447&lt;0.000001),0,IF(P447&lt;0.000001,Q446,IF(AE447=1,IF(C447=0,P447/MAX(1,入力設定!$B$6*12-A447+1),P447*(C447/12)/(1-(1+C447/12)^(-MAX(1,入力設定!$B$6*12-A447+1)))),Q446)))</f>
        <v>0</v>
      </c>
      <c r="R447" s="70">
        <f ca="1">IF(P447+AC447&lt;0.000001,0,IF(A447=入力設定!$B$6*12,P447+AB447+AC447,MIN(Q447,P447+AB447+AC447)))</f>
        <v>0</v>
      </c>
      <c r="S447" s="70">
        <f t="shared" ca="1" si="138"/>
        <v>0</v>
      </c>
      <c r="T447" s="70">
        <f t="shared" ca="1" si="139"/>
        <v>0</v>
      </c>
      <c r="U447" s="70">
        <f t="shared" ca="1" si="140"/>
        <v>0</v>
      </c>
      <c r="V447" s="70">
        <f t="shared" ca="1" si="141"/>
        <v>0</v>
      </c>
      <c r="W447" s="70">
        <f t="shared" ca="1" si="142"/>
        <v>0</v>
      </c>
      <c r="X447" s="70">
        <f t="shared" ca="1" si="143"/>
        <v>0</v>
      </c>
      <c r="Y447" s="71">
        <f t="shared" ca="1" si="144"/>
        <v>0</v>
      </c>
      <c r="Z447" s="71">
        <f t="shared" ca="1" si="152"/>
        <v>0</v>
      </c>
      <c r="AA447" s="71">
        <f t="shared" ca="1" si="145"/>
        <v>0</v>
      </c>
      <c r="AB447" s="71">
        <f t="shared" ca="1" si="146"/>
        <v>0</v>
      </c>
      <c r="AC447" s="71">
        <f t="shared" ca="1" si="153"/>
        <v>0</v>
      </c>
      <c r="AD447" s="71">
        <f t="shared" ca="1" si="147"/>
        <v>0</v>
      </c>
      <c r="AE447" s="72">
        <f t="shared" si="148"/>
        <v>0</v>
      </c>
      <c r="AF447" s="73">
        <f>IF(A447&gt;入力設定!$B$6*12,0,IF(AND(ISNUMBER(C447),C447&gt;=0,C447&lt;=1),0,1))</f>
        <v>0</v>
      </c>
    </row>
    <row r="448" spans="1:32" ht="21" customHeight="1">
      <c r="A448" s="68">
        <f>443</f>
        <v>443</v>
      </c>
      <c r="B448" s="69">
        <f>EDATE(入力設定!$B$7,A448-1)</f>
        <v>59780</v>
      </c>
      <c r="C448" s="80">
        <f>INDEX(入力設定!$C$15:$C$24,INT((A448-1)/60)+1)</f>
        <v>0.05</v>
      </c>
      <c r="D448" s="70">
        <f t="shared" ca="1" si="149"/>
        <v>0</v>
      </c>
      <c r="E448" s="70">
        <f t="shared" ca="1" si="150"/>
        <v>0</v>
      </c>
      <c r="F448" s="70">
        <f ca="1">IF(D448+Z448&lt;0.000001,0,IF(D448&lt;0.000001,F447,IF(OR(AE448=1,AND(K447&gt;0,入力設定!$B$8="返済額軽減型",入力設定!$B$11="翌月")),IF(C448=0,D448/MAX(1,E448),D448*(C448/12)/(1-(1+C448/12)^(-MAX(1,E448)))),F447)))</f>
        <v>0</v>
      </c>
      <c r="G448" s="70">
        <f t="shared" ca="1" si="132"/>
        <v>0</v>
      </c>
      <c r="H448" s="70">
        <f t="shared" ca="1" si="133"/>
        <v>0</v>
      </c>
      <c r="I448" s="70">
        <f t="shared" ca="1" si="134"/>
        <v>0</v>
      </c>
      <c r="J448" s="70">
        <f>SUMIFS(入力設定!$G$5:$G$24,入力設定!$F$5:$F$24,A448)</f>
        <v>0</v>
      </c>
      <c r="K448" s="70">
        <f t="shared" ca="1" si="135"/>
        <v>0</v>
      </c>
      <c r="L448" s="70">
        <f ca="1">IF(K448&gt;0,入力設定!$B$9,0)</f>
        <v>0</v>
      </c>
      <c r="M448" s="70">
        <f t="shared" ca="1" si="136"/>
        <v>0</v>
      </c>
      <c r="N448" s="70">
        <f ca="1">IF(M448+AA448&lt;0.000001,0,IF(AND(K448&gt;0,入力設定!$B$8="期間短縮型",AA448&lt;0.000001,F448&gt;M448*C448/12),MAX(1,MIN(E448-1,IF(C448=0,ROUNDUP(M448/F448,0),ROUNDUP(-LN(1-M448*(C448/12)/F448)/LN(1+C448/12),0)))),MAX(1,E448-1)))</f>
        <v>0</v>
      </c>
      <c r="O448" s="70">
        <f t="shared" ca="1" si="137"/>
        <v>0</v>
      </c>
      <c r="P448" s="70">
        <f t="shared" ca="1" si="151"/>
        <v>0</v>
      </c>
      <c r="Q448" s="70">
        <f ca="1">IF(OR(A448&gt;入力設定!$B$6*12,P448+AC448&lt;0.000001),0,IF(P448&lt;0.000001,Q447,IF(AE448=1,IF(C448=0,P448/MAX(1,入力設定!$B$6*12-A448+1),P448*(C448/12)/(1-(1+C448/12)^(-MAX(1,入力設定!$B$6*12-A448+1)))),Q447)))</f>
        <v>0</v>
      </c>
      <c r="R448" s="70">
        <f ca="1">IF(P448+AC448&lt;0.000001,0,IF(A448=入力設定!$B$6*12,P448+AB448+AC448,MIN(Q448,P448+AB448+AC448)))</f>
        <v>0</v>
      </c>
      <c r="S448" s="70">
        <f t="shared" ca="1" si="138"/>
        <v>0</v>
      </c>
      <c r="T448" s="70">
        <f t="shared" ca="1" si="139"/>
        <v>0</v>
      </c>
      <c r="U448" s="70">
        <f t="shared" ca="1" si="140"/>
        <v>0</v>
      </c>
      <c r="V448" s="70">
        <f t="shared" ca="1" si="141"/>
        <v>0</v>
      </c>
      <c r="W448" s="70">
        <f t="shared" ca="1" si="142"/>
        <v>0</v>
      </c>
      <c r="X448" s="70">
        <f t="shared" ca="1" si="143"/>
        <v>0</v>
      </c>
      <c r="Y448" s="71">
        <f t="shared" ca="1" si="144"/>
        <v>0</v>
      </c>
      <c r="Z448" s="71">
        <f t="shared" ca="1" si="152"/>
        <v>0</v>
      </c>
      <c r="AA448" s="71">
        <f t="shared" ca="1" si="145"/>
        <v>0</v>
      </c>
      <c r="AB448" s="71">
        <f t="shared" ca="1" si="146"/>
        <v>0</v>
      </c>
      <c r="AC448" s="71">
        <f t="shared" ca="1" si="153"/>
        <v>0</v>
      </c>
      <c r="AD448" s="71">
        <f t="shared" ca="1" si="147"/>
        <v>0</v>
      </c>
      <c r="AE448" s="72">
        <f t="shared" si="148"/>
        <v>0</v>
      </c>
      <c r="AF448" s="73">
        <f>IF(A448&gt;入力設定!$B$6*12,0,IF(AND(ISNUMBER(C448),C448&gt;=0,C448&lt;=1),0,1))</f>
        <v>0</v>
      </c>
    </row>
    <row r="449" spans="1:32" ht="21" customHeight="1">
      <c r="A449" s="68">
        <f>444</f>
        <v>444</v>
      </c>
      <c r="B449" s="69">
        <f>EDATE(入力設定!$B$7,A449-1)</f>
        <v>59810</v>
      </c>
      <c r="C449" s="80">
        <f>INDEX(入力設定!$C$15:$C$24,INT((A449-1)/60)+1)</f>
        <v>0.05</v>
      </c>
      <c r="D449" s="70">
        <f t="shared" ca="1" si="149"/>
        <v>0</v>
      </c>
      <c r="E449" s="70">
        <f t="shared" ca="1" si="150"/>
        <v>0</v>
      </c>
      <c r="F449" s="70">
        <f ca="1">IF(D449+Z449&lt;0.000001,0,IF(D449&lt;0.000001,F448,IF(OR(AE449=1,AND(K448&gt;0,入力設定!$B$8="返済額軽減型",入力設定!$B$11="翌月")),IF(C449=0,D449/MAX(1,E449),D449*(C449/12)/(1-(1+C449/12)^(-MAX(1,E449)))),F448)))</f>
        <v>0</v>
      </c>
      <c r="G449" s="70">
        <f t="shared" ca="1" si="132"/>
        <v>0</v>
      </c>
      <c r="H449" s="70">
        <f t="shared" ca="1" si="133"/>
        <v>0</v>
      </c>
      <c r="I449" s="70">
        <f t="shared" ca="1" si="134"/>
        <v>0</v>
      </c>
      <c r="J449" s="70">
        <f>SUMIFS(入力設定!$G$5:$G$24,入力設定!$F$5:$F$24,A449)</f>
        <v>0</v>
      </c>
      <c r="K449" s="70">
        <f t="shared" ca="1" si="135"/>
        <v>0</v>
      </c>
      <c r="L449" s="70">
        <f ca="1">IF(K449&gt;0,入力設定!$B$9,0)</f>
        <v>0</v>
      </c>
      <c r="M449" s="70">
        <f t="shared" ca="1" si="136"/>
        <v>0</v>
      </c>
      <c r="N449" s="70">
        <f ca="1">IF(M449+AA449&lt;0.000001,0,IF(AND(K449&gt;0,入力設定!$B$8="期間短縮型",AA449&lt;0.000001,F449&gt;M449*C449/12),MAX(1,MIN(E449-1,IF(C449=0,ROUNDUP(M449/F449,0),ROUNDUP(-LN(1-M449*(C449/12)/F449)/LN(1+C449/12),0)))),MAX(1,E449-1)))</f>
        <v>0</v>
      </c>
      <c r="O449" s="70">
        <f t="shared" ca="1" si="137"/>
        <v>0</v>
      </c>
      <c r="P449" s="70">
        <f t="shared" ca="1" si="151"/>
        <v>0</v>
      </c>
      <c r="Q449" s="70">
        <f ca="1">IF(OR(A449&gt;入力設定!$B$6*12,P449+AC449&lt;0.000001),0,IF(P449&lt;0.000001,Q448,IF(AE449=1,IF(C449=0,P449/MAX(1,入力設定!$B$6*12-A449+1),P449*(C449/12)/(1-(1+C449/12)^(-MAX(1,入力設定!$B$6*12-A449+1)))),Q448)))</f>
        <v>0</v>
      </c>
      <c r="R449" s="70">
        <f ca="1">IF(P449+AC449&lt;0.000001,0,IF(A449=入力設定!$B$6*12,P449+AB449+AC449,MIN(Q449,P449+AB449+AC449)))</f>
        <v>0</v>
      </c>
      <c r="S449" s="70">
        <f t="shared" ca="1" si="138"/>
        <v>0</v>
      </c>
      <c r="T449" s="70">
        <f t="shared" ca="1" si="139"/>
        <v>0</v>
      </c>
      <c r="U449" s="70">
        <f t="shared" ca="1" si="140"/>
        <v>0</v>
      </c>
      <c r="V449" s="70">
        <f t="shared" ca="1" si="141"/>
        <v>0</v>
      </c>
      <c r="W449" s="70">
        <f t="shared" ca="1" si="142"/>
        <v>0</v>
      </c>
      <c r="X449" s="70">
        <f t="shared" ca="1" si="143"/>
        <v>0</v>
      </c>
      <c r="Y449" s="71">
        <f t="shared" ca="1" si="144"/>
        <v>0</v>
      </c>
      <c r="Z449" s="71">
        <f t="shared" ca="1" si="152"/>
        <v>0</v>
      </c>
      <c r="AA449" s="71">
        <f t="shared" ca="1" si="145"/>
        <v>0</v>
      </c>
      <c r="AB449" s="71">
        <f t="shared" ca="1" si="146"/>
        <v>0</v>
      </c>
      <c r="AC449" s="71">
        <f t="shared" ca="1" si="153"/>
        <v>0</v>
      </c>
      <c r="AD449" s="71">
        <f t="shared" ca="1" si="147"/>
        <v>0</v>
      </c>
      <c r="AE449" s="72">
        <f t="shared" si="148"/>
        <v>0</v>
      </c>
      <c r="AF449" s="73">
        <f>IF(A449&gt;入力設定!$B$6*12,0,IF(AND(ISNUMBER(C449),C449&gt;=0,C449&lt;=1),0,1))</f>
        <v>0</v>
      </c>
    </row>
    <row r="450" spans="1:32" ht="21" customHeight="1">
      <c r="A450" s="68">
        <f>445</f>
        <v>445</v>
      </c>
      <c r="B450" s="69">
        <f>EDATE(入力設定!$B$7,A450-1)</f>
        <v>59841</v>
      </c>
      <c r="C450" s="80">
        <f>INDEX(入力設定!$C$15:$C$24,INT((A450-1)/60)+1)</f>
        <v>0.05</v>
      </c>
      <c r="D450" s="70">
        <f t="shared" ca="1" si="149"/>
        <v>0</v>
      </c>
      <c r="E450" s="70">
        <f t="shared" ca="1" si="150"/>
        <v>0</v>
      </c>
      <c r="F450" s="70">
        <f ca="1">IF(D450+Z450&lt;0.000001,0,IF(D450&lt;0.000001,F449,IF(OR(AE450=1,AND(K449&gt;0,入力設定!$B$8="返済額軽減型",入力設定!$B$11="翌月")),IF(C450=0,D450/MAX(1,E450),D450*(C450/12)/(1-(1+C450/12)^(-MAX(1,E450)))),F449)))</f>
        <v>0</v>
      </c>
      <c r="G450" s="70">
        <f t="shared" ca="1" si="132"/>
        <v>0</v>
      </c>
      <c r="H450" s="70">
        <f t="shared" ca="1" si="133"/>
        <v>0</v>
      </c>
      <c r="I450" s="70">
        <f t="shared" ca="1" si="134"/>
        <v>0</v>
      </c>
      <c r="J450" s="70">
        <f>SUMIFS(入力設定!$G$5:$G$24,入力設定!$F$5:$F$24,A450)</f>
        <v>0</v>
      </c>
      <c r="K450" s="70">
        <f t="shared" ca="1" si="135"/>
        <v>0</v>
      </c>
      <c r="L450" s="70">
        <f ca="1">IF(K450&gt;0,入力設定!$B$9,0)</f>
        <v>0</v>
      </c>
      <c r="M450" s="70">
        <f t="shared" ca="1" si="136"/>
        <v>0</v>
      </c>
      <c r="N450" s="70">
        <f ca="1">IF(M450+AA450&lt;0.000001,0,IF(AND(K450&gt;0,入力設定!$B$8="期間短縮型",AA450&lt;0.000001,F450&gt;M450*C450/12),MAX(1,MIN(E450-1,IF(C450=0,ROUNDUP(M450/F450,0),ROUNDUP(-LN(1-M450*(C450/12)/F450)/LN(1+C450/12),0)))),MAX(1,E450-1)))</f>
        <v>0</v>
      </c>
      <c r="O450" s="70">
        <f t="shared" ca="1" si="137"/>
        <v>0</v>
      </c>
      <c r="P450" s="70">
        <f t="shared" ca="1" si="151"/>
        <v>0</v>
      </c>
      <c r="Q450" s="70">
        <f ca="1">IF(OR(A450&gt;入力設定!$B$6*12,P450+AC450&lt;0.000001),0,IF(P450&lt;0.000001,Q449,IF(AE450=1,IF(C450=0,P450/MAX(1,入力設定!$B$6*12-A450+1),P450*(C450/12)/(1-(1+C450/12)^(-MAX(1,入力設定!$B$6*12-A450+1)))),Q449)))</f>
        <v>0</v>
      </c>
      <c r="R450" s="70">
        <f ca="1">IF(P450+AC450&lt;0.000001,0,IF(A450=入力設定!$B$6*12,P450+AB450+AC450,MIN(Q450,P450+AB450+AC450)))</f>
        <v>0</v>
      </c>
      <c r="S450" s="70">
        <f t="shared" ca="1" si="138"/>
        <v>0</v>
      </c>
      <c r="T450" s="70">
        <f t="shared" ca="1" si="139"/>
        <v>0</v>
      </c>
      <c r="U450" s="70">
        <f t="shared" ca="1" si="140"/>
        <v>0</v>
      </c>
      <c r="V450" s="70">
        <f t="shared" ca="1" si="141"/>
        <v>0</v>
      </c>
      <c r="W450" s="70">
        <f t="shared" ca="1" si="142"/>
        <v>0</v>
      </c>
      <c r="X450" s="70">
        <f t="shared" ca="1" si="143"/>
        <v>0</v>
      </c>
      <c r="Y450" s="71">
        <f t="shared" ca="1" si="144"/>
        <v>0</v>
      </c>
      <c r="Z450" s="71">
        <f t="shared" ca="1" si="152"/>
        <v>0</v>
      </c>
      <c r="AA450" s="71">
        <f t="shared" ca="1" si="145"/>
        <v>0</v>
      </c>
      <c r="AB450" s="71">
        <f t="shared" ca="1" si="146"/>
        <v>0</v>
      </c>
      <c r="AC450" s="71">
        <f t="shared" ca="1" si="153"/>
        <v>0</v>
      </c>
      <c r="AD450" s="71">
        <f t="shared" ca="1" si="147"/>
        <v>0</v>
      </c>
      <c r="AE450" s="72">
        <f t="shared" si="148"/>
        <v>0</v>
      </c>
      <c r="AF450" s="73">
        <f>IF(A450&gt;入力設定!$B$6*12,0,IF(AND(ISNUMBER(C450),C450&gt;=0,C450&lt;=1),0,1))</f>
        <v>0</v>
      </c>
    </row>
    <row r="451" spans="1:32" ht="21" customHeight="1">
      <c r="A451" s="68">
        <f>446</f>
        <v>446</v>
      </c>
      <c r="B451" s="69">
        <f>EDATE(入力設定!$B$7,A451-1)</f>
        <v>59871</v>
      </c>
      <c r="C451" s="80">
        <f>INDEX(入力設定!$C$15:$C$24,INT((A451-1)/60)+1)</f>
        <v>0.05</v>
      </c>
      <c r="D451" s="70">
        <f t="shared" ca="1" si="149"/>
        <v>0</v>
      </c>
      <c r="E451" s="70">
        <f t="shared" ca="1" si="150"/>
        <v>0</v>
      </c>
      <c r="F451" s="70">
        <f ca="1">IF(D451+Z451&lt;0.000001,0,IF(D451&lt;0.000001,F450,IF(OR(AE451=1,AND(K450&gt;0,入力設定!$B$8="返済額軽減型",入力設定!$B$11="翌月")),IF(C451=0,D451/MAX(1,E451),D451*(C451/12)/(1-(1+C451/12)^(-MAX(1,E451)))),F450)))</f>
        <v>0</v>
      </c>
      <c r="G451" s="70">
        <f t="shared" ca="1" si="132"/>
        <v>0</v>
      </c>
      <c r="H451" s="70">
        <f t="shared" ca="1" si="133"/>
        <v>0</v>
      </c>
      <c r="I451" s="70">
        <f t="shared" ca="1" si="134"/>
        <v>0</v>
      </c>
      <c r="J451" s="70">
        <f>SUMIFS(入力設定!$G$5:$G$24,入力設定!$F$5:$F$24,A451)</f>
        <v>0</v>
      </c>
      <c r="K451" s="70">
        <f t="shared" ca="1" si="135"/>
        <v>0</v>
      </c>
      <c r="L451" s="70">
        <f ca="1">IF(K451&gt;0,入力設定!$B$9,0)</f>
        <v>0</v>
      </c>
      <c r="M451" s="70">
        <f t="shared" ca="1" si="136"/>
        <v>0</v>
      </c>
      <c r="N451" s="70">
        <f ca="1">IF(M451+AA451&lt;0.000001,0,IF(AND(K451&gt;0,入力設定!$B$8="期間短縮型",AA451&lt;0.000001,F451&gt;M451*C451/12),MAX(1,MIN(E451-1,IF(C451=0,ROUNDUP(M451/F451,0),ROUNDUP(-LN(1-M451*(C451/12)/F451)/LN(1+C451/12),0)))),MAX(1,E451-1)))</f>
        <v>0</v>
      </c>
      <c r="O451" s="70">
        <f t="shared" ca="1" si="137"/>
        <v>0</v>
      </c>
      <c r="P451" s="70">
        <f t="shared" ca="1" si="151"/>
        <v>0</v>
      </c>
      <c r="Q451" s="70">
        <f ca="1">IF(OR(A451&gt;入力設定!$B$6*12,P451+AC451&lt;0.000001),0,IF(P451&lt;0.000001,Q450,IF(AE451=1,IF(C451=0,P451/MAX(1,入力設定!$B$6*12-A451+1),P451*(C451/12)/(1-(1+C451/12)^(-MAX(1,入力設定!$B$6*12-A451+1)))),Q450)))</f>
        <v>0</v>
      </c>
      <c r="R451" s="70">
        <f ca="1">IF(P451+AC451&lt;0.000001,0,IF(A451=入力設定!$B$6*12,P451+AB451+AC451,MIN(Q451,P451+AB451+AC451)))</f>
        <v>0</v>
      </c>
      <c r="S451" s="70">
        <f t="shared" ca="1" si="138"/>
        <v>0</v>
      </c>
      <c r="T451" s="70">
        <f t="shared" ca="1" si="139"/>
        <v>0</v>
      </c>
      <c r="U451" s="70">
        <f t="shared" ca="1" si="140"/>
        <v>0</v>
      </c>
      <c r="V451" s="70">
        <f t="shared" ca="1" si="141"/>
        <v>0</v>
      </c>
      <c r="W451" s="70">
        <f t="shared" ca="1" si="142"/>
        <v>0</v>
      </c>
      <c r="X451" s="70">
        <f t="shared" ca="1" si="143"/>
        <v>0</v>
      </c>
      <c r="Y451" s="71">
        <f t="shared" ca="1" si="144"/>
        <v>0</v>
      </c>
      <c r="Z451" s="71">
        <f t="shared" ca="1" si="152"/>
        <v>0</v>
      </c>
      <c r="AA451" s="71">
        <f t="shared" ca="1" si="145"/>
        <v>0</v>
      </c>
      <c r="AB451" s="71">
        <f t="shared" ca="1" si="146"/>
        <v>0</v>
      </c>
      <c r="AC451" s="71">
        <f t="shared" ca="1" si="153"/>
        <v>0</v>
      </c>
      <c r="AD451" s="71">
        <f t="shared" ca="1" si="147"/>
        <v>0</v>
      </c>
      <c r="AE451" s="72">
        <f t="shared" si="148"/>
        <v>0</v>
      </c>
      <c r="AF451" s="73">
        <f>IF(A451&gt;入力設定!$B$6*12,0,IF(AND(ISNUMBER(C451),C451&gt;=0,C451&lt;=1),0,1))</f>
        <v>0</v>
      </c>
    </row>
    <row r="452" spans="1:32" ht="21" customHeight="1">
      <c r="A452" s="68">
        <f>447</f>
        <v>447</v>
      </c>
      <c r="B452" s="69">
        <f>EDATE(入力設定!$B$7,A452-1)</f>
        <v>59902</v>
      </c>
      <c r="C452" s="80">
        <f>INDEX(入力設定!$C$15:$C$24,INT((A452-1)/60)+1)</f>
        <v>0.05</v>
      </c>
      <c r="D452" s="70">
        <f t="shared" ca="1" si="149"/>
        <v>0</v>
      </c>
      <c r="E452" s="70">
        <f t="shared" ca="1" si="150"/>
        <v>0</v>
      </c>
      <c r="F452" s="70">
        <f ca="1">IF(D452+Z452&lt;0.000001,0,IF(D452&lt;0.000001,F451,IF(OR(AE452=1,AND(K451&gt;0,入力設定!$B$8="返済額軽減型",入力設定!$B$11="翌月")),IF(C452=0,D452/MAX(1,E452),D452*(C452/12)/(1-(1+C452/12)^(-MAX(1,E452)))),F451)))</f>
        <v>0</v>
      </c>
      <c r="G452" s="70">
        <f t="shared" ca="1" si="132"/>
        <v>0</v>
      </c>
      <c r="H452" s="70">
        <f t="shared" ca="1" si="133"/>
        <v>0</v>
      </c>
      <c r="I452" s="70">
        <f t="shared" ca="1" si="134"/>
        <v>0</v>
      </c>
      <c r="J452" s="70">
        <f>SUMIFS(入力設定!$G$5:$G$24,入力設定!$F$5:$F$24,A452)</f>
        <v>0</v>
      </c>
      <c r="K452" s="70">
        <f t="shared" ca="1" si="135"/>
        <v>0</v>
      </c>
      <c r="L452" s="70">
        <f ca="1">IF(K452&gt;0,入力設定!$B$9,0)</f>
        <v>0</v>
      </c>
      <c r="M452" s="70">
        <f t="shared" ca="1" si="136"/>
        <v>0</v>
      </c>
      <c r="N452" s="70">
        <f ca="1">IF(M452+AA452&lt;0.000001,0,IF(AND(K452&gt;0,入力設定!$B$8="期間短縮型",AA452&lt;0.000001,F452&gt;M452*C452/12),MAX(1,MIN(E452-1,IF(C452=0,ROUNDUP(M452/F452,0),ROUNDUP(-LN(1-M452*(C452/12)/F452)/LN(1+C452/12),0)))),MAX(1,E452-1)))</f>
        <v>0</v>
      </c>
      <c r="O452" s="70">
        <f t="shared" ca="1" si="137"/>
        <v>0</v>
      </c>
      <c r="P452" s="70">
        <f t="shared" ca="1" si="151"/>
        <v>0</v>
      </c>
      <c r="Q452" s="70">
        <f ca="1">IF(OR(A452&gt;入力設定!$B$6*12,P452+AC452&lt;0.000001),0,IF(P452&lt;0.000001,Q451,IF(AE452=1,IF(C452=0,P452/MAX(1,入力設定!$B$6*12-A452+1),P452*(C452/12)/(1-(1+C452/12)^(-MAX(1,入力設定!$B$6*12-A452+1)))),Q451)))</f>
        <v>0</v>
      </c>
      <c r="R452" s="70">
        <f ca="1">IF(P452+AC452&lt;0.000001,0,IF(A452=入力設定!$B$6*12,P452+AB452+AC452,MIN(Q452,P452+AB452+AC452)))</f>
        <v>0</v>
      </c>
      <c r="S452" s="70">
        <f t="shared" ca="1" si="138"/>
        <v>0</v>
      </c>
      <c r="T452" s="70">
        <f t="shared" ca="1" si="139"/>
        <v>0</v>
      </c>
      <c r="U452" s="70">
        <f t="shared" ca="1" si="140"/>
        <v>0</v>
      </c>
      <c r="V452" s="70">
        <f t="shared" ca="1" si="141"/>
        <v>0</v>
      </c>
      <c r="W452" s="70">
        <f t="shared" ca="1" si="142"/>
        <v>0</v>
      </c>
      <c r="X452" s="70">
        <f t="shared" ca="1" si="143"/>
        <v>0</v>
      </c>
      <c r="Y452" s="71">
        <f t="shared" ca="1" si="144"/>
        <v>0</v>
      </c>
      <c r="Z452" s="71">
        <f t="shared" ca="1" si="152"/>
        <v>0</v>
      </c>
      <c r="AA452" s="71">
        <f t="shared" ca="1" si="145"/>
        <v>0</v>
      </c>
      <c r="AB452" s="71">
        <f t="shared" ca="1" si="146"/>
        <v>0</v>
      </c>
      <c r="AC452" s="71">
        <f t="shared" ca="1" si="153"/>
        <v>0</v>
      </c>
      <c r="AD452" s="71">
        <f t="shared" ca="1" si="147"/>
        <v>0</v>
      </c>
      <c r="AE452" s="72">
        <f t="shared" si="148"/>
        <v>0</v>
      </c>
      <c r="AF452" s="73">
        <f>IF(A452&gt;入力設定!$B$6*12,0,IF(AND(ISNUMBER(C452),C452&gt;=0,C452&lt;=1),0,1))</f>
        <v>0</v>
      </c>
    </row>
    <row r="453" spans="1:32" ht="21" customHeight="1">
      <c r="A453" s="68">
        <f>448</f>
        <v>448</v>
      </c>
      <c r="B453" s="69">
        <f>EDATE(入力設定!$B$7,A453-1)</f>
        <v>59933</v>
      </c>
      <c r="C453" s="80">
        <f>INDEX(入力設定!$C$15:$C$24,INT((A453-1)/60)+1)</f>
        <v>0.05</v>
      </c>
      <c r="D453" s="70">
        <f t="shared" ca="1" si="149"/>
        <v>0</v>
      </c>
      <c r="E453" s="70">
        <f t="shared" ca="1" si="150"/>
        <v>0</v>
      </c>
      <c r="F453" s="70">
        <f ca="1">IF(D453+Z453&lt;0.000001,0,IF(D453&lt;0.000001,F452,IF(OR(AE453=1,AND(K452&gt;0,入力設定!$B$8="返済額軽減型",入力設定!$B$11="翌月")),IF(C453=0,D453/MAX(1,E453),D453*(C453/12)/(1-(1+C453/12)^(-MAX(1,E453)))),F452)))</f>
        <v>0</v>
      </c>
      <c r="G453" s="70">
        <f t="shared" ca="1" si="132"/>
        <v>0</v>
      </c>
      <c r="H453" s="70">
        <f t="shared" ca="1" si="133"/>
        <v>0</v>
      </c>
      <c r="I453" s="70">
        <f t="shared" ca="1" si="134"/>
        <v>0</v>
      </c>
      <c r="J453" s="70">
        <f>SUMIFS(入力設定!$G$5:$G$24,入力設定!$F$5:$F$24,A453)</f>
        <v>0</v>
      </c>
      <c r="K453" s="70">
        <f t="shared" ca="1" si="135"/>
        <v>0</v>
      </c>
      <c r="L453" s="70">
        <f ca="1">IF(K453&gt;0,入力設定!$B$9,0)</f>
        <v>0</v>
      </c>
      <c r="M453" s="70">
        <f t="shared" ca="1" si="136"/>
        <v>0</v>
      </c>
      <c r="N453" s="70">
        <f ca="1">IF(M453+AA453&lt;0.000001,0,IF(AND(K453&gt;0,入力設定!$B$8="期間短縮型",AA453&lt;0.000001,F453&gt;M453*C453/12),MAX(1,MIN(E453-1,IF(C453=0,ROUNDUP(M453/F453,0),ROUNDUP(-LN(1-M453*(C453/12)/F453)/LN(1+C453/12),0)))),MAX(1,E453-1)))</f>
        <v>0</v>
      </c>
      <c r="O453" s="70">
        <f t="shared" ca="1" si="137"/>
        <v>0</v>
      </c>
      <c r="P453" s="70">
        <f t="shared" ca="1" si="151"/>
        <v>0</v>
      </c>
      <c r="Q453" s="70">
        <f ca="1">IF(OR(A453&gt;入力設定!$B$6*12,P453+AC453&lt;0.000001),0,IF(P453&lt;0.000001,Q452,IF(AE453=1,IF(C453=0,P453/MAX(1,入力設定!$B$6*12-A453+1),P453*(C453/12)/(1-(1+C453/12)^(-MAX(1,入力設定!$B$6*12-A453+1)))),Q452)))</f>
        <v>0</v>
      </c>
      <c r="R453" s="70">
        <f ca="1">IF(P453+AC453&lt;0.000001,0,IF(A453=入力設定!$B$6*12,P453+AB453+AC453,MIN(Q453,P453+AB453+AC453)))</f>
        <v>0</v>
      </c>
      <c r="S453" s="70">
        <f t="shared" ca="1" si="138"/>
        <v>0</v>
      </c>
      <c r="T453" s="70">
        <f t="shared" ca="1" si="139"/>
        <v>0</v>
      </c>
      <c r="U453" s="70">
        <f t="shared" ca="1" si="140"/>
        <v>0</v>
      </c>
      <c r="V453" s="70">
        <f t="shared" ca="1" si="141"/>
        <v>0</v>
      </c>
      <c r="W453" s="70">
        <f t="shared" ca="1" si="142"/>
        <v>0</v>
      </c>
      <c r="X453" s="70">
        <f t="shared" ca="1" si="143"/>
        <v>0</v>
      </c>
      <c r="Y453" s="71">
        <f t="shared" ca="1" si="144"/>
        <v>0</v>
      </c>
      <c r="Z453" s="71">
        <f t="shared" ca="1" si="152"/>
        <v>0</v>
      </c>
      <c r="AA453" s="71">
        <f t="shared" ca="1" si="145"/>
        <v>0</v>
      </c>
      <c r="AB453" s="71">
        <f t="shared" ca="1" si="146"/>
        <v>0</v>
      </c>
      <c r="AC453" s="71">
        <f t="shared" ca="1" si="153"/>
        <v>0</v>
      </c>
      <c r="AD453" s="71">
        <f t="shared" ca="1" si="147"/>
        <v>0</v>
      </c>
      <c r="AE453" s="72">
        <f t="shared" si="148"/>
        <v>0</v>
      </c>
      <c r="AF453" s="73">
        <f>IF(A453&gt;入力設定!$B$6*12,0,IF(AND(ISNUMBER(C453),C453&gt;=0,C453&lt;=1),0,1))</f>
        <v>0</v>
      </c>
    </row>
    <row r="454" spans="1:32" ht="21" customHeight="1">
      <c r="A454" s="68">
        <f>449</f>
        <v>449</v>
      </c>
      <c r="B454" s="69">
        <f>EDATE(入力設定!$B$7,A454-1)</f>
        <v>59962</v>
      </c>
      <c r="C454" s="80">
        <f>INDEX(入力設定!$C$15:$C$24,INT((A454-1)/60)+1)</f>
        <v>0.05</v>
      </c>
      <c r="D454" s="70">
        <f t="shared" ca="1" si="149"/>
        <v>0</v>
      </c>
      <c r="E454" s="70">
        <f t="shared" ca="1" si="150"/>
        <v>0</v>
      </c>
      <c r="F454" s="70">
        <f ca="1">IF(D454+Z454&lt;0.000001,0,IF(D454&lt;0.000001,F453,IF(OR(AE454=1,AND(K453&gt;0,入力設定!$B$8="返済額軽減型",入力設定!$B$11="翌月")),IF(C454=0,D454/MAX(1,E454),D454*(C454/12)/(1-(1+C454/12)^(-MAX(1,E454)))),F453)))</f>
        <v>0</v>
      </c>
      <c r="G454" s="70">
        <f t="shared" ref="G454:G517" ca="1" si="154">IF(D454+Z454&lt;0.000001,0,IF(E454&lt;=1,D454+Y454+Z454,MIN(D454+Y454+Z454,F454)))</f>
        <v>0</v>
      </c>
      <c r="H454" s="70">
        <f t="shared" ref="H454:H517" ca="1" si="155">MIN(G454,Y454+Z454)</f>
        <v>0</v>
      </c>
      <c r="I454" s="70">
        <f t="shared" ref="I454:I517" ca="1" si="156">G454-H454</f>
        <v>0</v>
      </c>
      <c r="J454" s="70">
        <f>SUMIFS(入力設定!$G$5:$G$24,入力設定!$F$5:$F$24,A454)</f>
        <v>0</v>
      </c>
      <c r="K454" s="70">
        <f t="shared" ref="K454:K517" ca="1" si="157">MIN(MAX(0,D454-I454),J454)</f>
        <v>0</v>
      </c>
      <c r="L454" s="70">
        <f ca="1">IF(K454&gt;0,入力設定!$B$9,0)</f>
        <v>0</v>
      </c>
      <c r="M454" s="70">
        <f t="shared" ref="M454:M517" ca="1" si="158">MAX(0,D454-I454-K454)</f>
        <v>0</v>
      </c>
      <c r="N454" s="70">
        <f ca="1">IF(M454+AA454&lt;0.000001,0,IF(AND(K454&gt;0,入力設定!$B$8="期間短縮型",AA454&lt;0.000001,F454&gt;M454*C454/12),MAX(1,MIN(E454-1,IF(C454=0,ROUNDUP(M454/F454,0),ROUNDUP(-LN(1-M454*(C454/12)/F454)/LN(1+C454/12),0)))),MAX(1,E454-1)))</f>
        <v>0</v>
      </c>
      <c r="O454" s="70">
        <f t="shared" ref="O454:O517" ca="1" si="159">SUM(G454,K454,L454)</f>
        <v>0</v>
      </c>
      <c r="P454" s="70">
        <f t="shared" ca="1" si="151"/>
        <v>0</v>
      </c>
      <c r="Q454" s="70">
        <f ca="1">IF(OR(A454&gt;入力設定!$B$6*12,P454+AC454&lt;0.000001),0,IF(P454&lt;0.000001,Q453,IF(AE454=1,IF(C454=0,P454/MAX(1,入力設定!$B$6*12-A454+1),P454*(C454/12)/(1-(1+C454/12)^(-MAX(1,入力設定!$B$6*12-A454+1)))),Q453)))</f>
        <v>0</v>
      </c>
      <c r="R454" s="70">
        <f ca="1">IF(P454+AC454&lt;0.000001,0,IF(A454=入力設定!$B$6*12,P454+AB454+AC454,MIN(Q454,P454+AB454+AC454)))</f>
        <v>0</v>
      </c>
      <c r="S454" s="70">
        <f t="shared" ref="S454:S517" ca="1" si="160">MIN(R454,AB454+AC454)</f>
        <v>0</v>
      </c>
      <c r="T454" s="70">
        <f t="shared" ref="T454:T517" ca="1" si="161">R454-S454</f>
        <v>0</v>
      </c>
      <c r="U454" s="70">
        <f t="shared" ref="U454:U517" ca="1" si="162">MAX(0,P454-T454)</f>
        <v>0</v>
      </c>
      <c r="V454" s="70">
        <f t="shared" ref="V454:V517" ca="1" si="163">D454-I454-K454-M454</f>
        <v>0</v>
      </c>
      <c r="W454" s="70">
        <f t="shared" ref="W454:W517" ca="1" si="164">P454-T454-U454</f>
        <v>0</v>
      </c>
      <c r="X454" s="70">
        <f t="shared" ref="X454:X517" ca="1" si="165">O454-G454-K454-L454</f>
        <v>0</v>
      </c>
      <c r="Y454" s="71">
        <f t="shared" ref="Y454:Y517" ca="1" si="166">D454*C454/12</f>
        <v>0</v>
      </c>
      <c r="Z454" s="71">
        <f t="shared" ca="1" si="152"/>
        <v>0</v>
      </c>
      <c r="AA454" s="71">
        <f t="shared" ref="AA454:AA517" ca="1" si="167">MAX(0,Z454+Y454-H454)</f>
        <v>0</v>
      </c>
      <c r="AB454" s="71">
        <f t="shared" ref="AB454:AB517" ca="1" si="168">P454*C454/12</f>
        <v>0</v>
      </c>
      <c r="AC454" s="71">
        <f t="shared" ca="1" si="153"/>
        <v>0</v>
      </c>
      <c r="AD454" s="71">
        <f t="shared" ref="AD454:AD517" ca="1" si="169">MAX(0,AC454+AB454-S454)</f>
        <v>0</v>
      </c>
      <c r="AE454" s="72">
        <f t="shared" ref="AE454:AE517" si="170">IF(MOD(A454-1,60)=0,1,0)</f>
        <v>0</v>
      </c>
      <c r="AF454" s="73">
        <f>IF(A454&gt;入力設定!$B$6*12,0,IF(AND(ISNUMBER(C454),C454&gt;=0,C454&lt;=1),0,1))</f>
        <v>0</v>
      </c>
    </row>
    <row r="455" spans="1:32" ht="21" customHeight="1">
      <c r="A455" s="68">
        <f>450</f>
        <v>450</v>
      </c>
      <c r="B455" s="69">
        <f>EDATE(入力設定!$B$7,A455-1)</f>
        <v>59993</v>
      </c>
      <c r="C455" s="80">
        <f>INDEX(入力設定!$C$15:$C$24,INT((A455-1)/60)+1)</f>
        <v>0.05</v>
      </c>
      <c r="D455" s="70">
        <f t="shared" ref="D455:D518" ca="1" si="171">M454</f>
        <v>0</v>
      </c>
      <c r="E455" s="70">
        <f t="shared" ref="E455:E518" ca="1" si="172">N454</f>
        <v>0</v>
      </c>
      <c r="F455" s="70">
        <f ca="1">IF(D455+Z455&lt;0.000001,0,IF(D455&lt;0.000001,F454,IF(OR(AE455=1,AND(K454&gt;0,入力設定!$B$8="返済額軽減型",入力設定!$B$11="翌月")),IF(C455=0,D455/MAX(1,E455),D455*(C455/12)/(1-(1+C455/12)^(-MAX(1,E455)))),F454)))</f>
        <v>0</v>
      </c>
      <c r="G455" s="70">
        <f t="shared" ca="1" si="154"/>
        <v>0</v>
      </c>
      <c r="H455" s="70">
        <f t="shared" ca="1" si="155"/>
        <v>0</v>
      </c>
      <c r="I455" s="70">
        <f t="shared" ca="1" si="156"/>
        <v>0</v>
      </c>
      <c r="J455" s="70">
        <f>SUMIFS(入力設定!$G$5:$G$24,入力設定!$F$5:$F$24,A455)</f>
        <v>0</v>
      </c>
      <c r="K455" s="70">
        <f t="shared" ca="1" si="157"/>
        <v>0</v>
      </c>
      <c r="L455" s="70">
        <f ca="1">IF(K455&gt;0,入力設定!$B$9,0)</f>
        <v>0</v>
      </c>
      <c r="M455" s="70">
        <f t="shared" ca="1" si="158"/>
        <v>0</v>
      </c>
      <c r="N455" s="70">
        <f ca="1">IF(M455+AA455&lt;0.000001,0,IF(AND(K455&gt;0,入力設定!$B$8="期間短縮型",AA455&lt;0.000001,F455&gt;M455*C455/12),MAX(1,MIN(E455-1,IF(C455=0,ROUNDUP(M455/F455,0),ROUNDUP(-LN(1-M455*(C455/12)/F455)/LN(1+C455/12),0)))),MAX(1,E455-1)))</f>
        <v>0</v>
      </c>
      <c r="O455" s="70">
        <f t="shared" ca="1" si="159"/>
        <v>0</v>
      </c>
      <c r="P455" s="70">
        <f t="shared" ref="P455:P518" ca="1" si="173">U454</f>
        <v>0</v>
      </c>
      <c r="Q455" s="70">
        <f ca="1">IF(OR(A455&gt;入力設定!$B$6*12,P455+AC455&lt;0.000001),0,IF(P455&lt;0.000001,Q454,IF(AE455=1,IF(C455=0,P455/MAX(1,入力設定!$B$6*12-A455+1),P455*(C455/12)/(1-(1+C455/12)^(-MAX(1,入力設定!$B$6*12-A455+1)))),Q454)))</f>
        <v>0</v>
      </c>
      <c r="R455" s="70">
        <f ca="1">IF(P455+AC455&lt;0.000001,0,IF(A455=入力設定!$B$6*12,P455+AB455+AC455,MIN(Q455,P455+AB455+AC455)))</f>
        <v>0</v>
      </c>
      <c r="S455" s="70">
        <f t="shared" ca="1" si="160"/>
        <v>0</v>
      </c>
      <c r="T455" s="70">
        <f t="shared" ca="1" si="161"/>
        <v>0</v>
      </c>
      <c r="U455" s="70">
        <f t="shared" ca="1" si="162"/>
        <v>0</v>
      </c>
      <c r="V455" s="70">
        <f t="shared" ca="1" si="163"/>
        <v>0</v>
      </c>
      <c r="W455" s="70">
        <f t="shared" ca="1" si="164"/>
        <v>0</v>
      </c>
      <c r="X455" s="70">
        <f t="shared" ca="1" si="165"/>
        <v>0</v>
      </c>
      <c r="Y455" s="71">
        <f t="shared" ca="1" si="166"/>
        <v>0</v>
      </c>
      <c r="Z455" s="71">
        <f t="shared" ref="Z455:Z518" ca="1" si="174">AA454</f>
        <v>0</v>
      </c>
      <c r="AA455" s="71">
        <f t="shared" ca="1" si="167"/>
        <v>0</v>
      </c>
      <c r="AB455" s="71">
        <f t="shared" ca="1" si="168"/>
        <v>0</v>
      </c>
      <c r="AC455" s="71">
        <f t="shared" ref="AC455:AC518" ca="1" si="175">AD454</f>
        <v>0</v>
      </c>
      <c r="AD455" s="71">
        <f t="shared" ca="1" si="169"/>
        <v>0</v>
      </c>
      <c r="AE455" s="72">
        <f t="shared" si="170"/>
        <v>0</v>
      </c>
      <c r="AF455" s="73">
        <f>IF(A455&gt;入力設定!$B$6*12,0,IF(AND(ISNUMBER(C455),C455&gt;=0,C455&lt;=1),0,1))</f>
        <v>0</v>
      </c>
    </row>
    <row r="456" spans="1:32" ht="21" customHeight="1">
      <c r="A456" s="68">
        <f>451</f>
        <v>451</v>
      </c>
      <c r="B456" s="69">
        <f>EDATE(入力設定!$B$7,A456-1)</f>
        <v>60023</v>
      </c>
      <c r="C456" s="80">
        <f>INDEX(入力設定!$C$15:$C$24,INT((A456-1)/60)+1)</f>
        <v>0.05</v>
      </c>
      <c r="D456" s="70">
        <f t="shared" ca="1" si="171"/>
        <v>0</v>
      </c>
      <c r="E456" s="70">
        <f t="shared" ca="1" si="172"/>
        <v>0</v>
      </c>
      <c r="F456" s="70">
        <f ca="1">IF(D456+Z456&lt;0.000001,0,IF(D456&lt;0.000001,F455,IF(OR(AE456=1,AND(K455&gt;0,入力設定!$B$8="返済額軽減型",入力設定!$B$11="翌月")),IF(C456=0,D456/MAX(1,E456),D456*(C456/12)/(1-(1+C456/12)^(-MAX(1,E456)))),F455)))</f>
        <v>0</v>
      </c>
      <c r="G456" s="70">
        <f t="shared" ca="1" si="154"/>
        <v>0</v>
      </c>
      <c r="H456" s="70">
        <f t="shared" ca="1" si="155"/>
        <v>0</v>
      </c>
      <c r="I456" s="70">
        <f t="shared" ca="1" si="156"/>
        <v>0</v>
      </c>
      <c r="J456" s="70">
        <f>SUMIFS(入力設定!$G$5:$G$24,入力設定!$F$5:$F$24,A456)</f>
        <v>0</v>
      </c>
      <c r="K456" s="70">
        <f t="shared" ca="1" si="157"/>
        <v>0</v>
      </c>
      <c r="L456" s="70">
        <f ca="1">IF(K456&gt;0,入力設定!$B$9,0)</f>
        <v>0</v>
      </c>
      <c r="M456" s="70">
        <f t="shared" ca="1" si="158"/>
        <v>0</v>
      </c>
      <c r="N456" s="70">
        <f ca="1">IF(M456+AA456&lt;0.000001,0,IF(AND(K456&gt;0,入力設定!$B$8="期間短縮型",AA456&lt;0.000001,F456&gt;M456*C456/12),MAX(1,MIN(E456-1,IF(C456=0,ROUNDUP(M456/F456,0),ROUNDUP(-LN(1-M456*(C456/12)/F456)/LN(1+C456/12),0)))),MAX(1,E456-1)))</f>
        <v>0</v>
      </c>
      <c r="O456" s="70">
        <f t="shared" ca="1" si="159"/>
        <v>0</v>
      </c>
      <c r="P456" s="70">
        <f t="shared" ca="1" si="173"/>
        <v>0</v>
      </c>
      <c r="Q456" s="70">
        <f ca="1">IF(OR(A456&gt;入力設定!$B$6*12,P456+AC456&lt;0.000001),0,IF(P456&lt;0.000001,Q455,IF(AE456=1,IF(C456=0,P456/MAX(1,入力設定!$B$6*12-A456+1),P456*(C456/12)/(1-(1+C456/12)^(-MAX(1,入力設定!$B$6*12-A456+1)))),Q455)))</f>
        <v>0</v>
      </c>
      <c r="R456" s="70">
        <f ca="1">IF(P456+AC456&lt;0.000001,0,IF(A456=入力設定!$B$6*12,P456+AB456+AC456,MIN(Q456,P456+AB456+AC456)))</f>
        <v>0</v>
      </c>
      <c r="S456" s="70">
        <f t="shared" ca="1" si="160"/>
        <v>0</v>
      </c>
      <c r="T456" s="70">
        <f t="shared" ca="1" si="161"/>
        <v>0</v>
      </c>
      <c r="U456" s="70">
        <f t="shared" ca="1" si="162"/>
        <v>0</v>
      </c>
      <c r="V456" s="70">
        <f t="shared" ca="1" si="163"/>
        <v>0</v>
      </c>
      <c r="W456" s="70">
        <f t="shared" ca="1" si="164"/>
        <v>0</v>
      </c>
      <c r="X456" s="70">
        <f t="shared" ca="1" si="165"/>
        <v>0</v>
      </c>
      <c r="Y456" s="71">
        <f t="shared" ca="1" si="166"/>
        <v>0</v>
      </c>
      <c r="Z456" s="71">
        <f t="shared" ca="1" si="174"/>
        <v>0</v>
      </c>
      <c r="AA456" s="71">
        <f t="shared" ca="1" si="167"/>
        <v>0</v>
      </c>
      <c r="AB456" s="71">
        <f t="shared" ca="1" si="168"/>
        <v>0</v>
      </c>
      <c r="AC456" s="71">
        <f t="shared" ca="1" si="175"/>
        <v>0</v>
      </c>
      <c r="AD456" s="71">
        <f t="shared" ca="1" si="169"/>
        <v>0</v>
      </c>
      <c r="AE456" s="72">
        <f t="shared" si="170"/>
        <v>0</v>
      </c>
      <c r="AF456" s="73">
        <f>IF(A456&gt;入力設定!$B$6*12,0,IF(AND(ISNUMBER(C456),C456&gt;=0,C456&lt;=1),0,1))</f>
        <v>0</v>
      </c>
    </row>
    <row r="457" spans="1:32" ht="21" customHeight="1">
      <c r="A457" s="68">
        <f>452</f>
        <v>452</v>
      </c>
      <c r="B457" s="69">
        <f>EDATE(入力設定!$B$7,A457-1)</f>
        <v>60054</v>
      </c>
      <c r="C457" s="80">
        <f>INDEX(入力設定!$C$15:$C$24,INT((A457-1)/60)+1)</f>
        <v>0.05</v>
      </c>
      <c r="D457" s="70">
        <f t="shared" ca="1" si="171"/>
        <v>0</v>
      </c>
      <c r="E457" s="70">
        <f t="shared" ca="1" si="172"/>
        <v>0</v>
      </c>
      <c r="F457" s="70">
        <f ca="1">IF(D457+Z457&lt;0.000001,0,IF(D457&lt;0.000001,F456,IF(OR(AE457=1,AND(K456&gt;0,入力設定!$B$8="返済額軽減型",入力設定!$B$11="翌月")),IF(C457=0,D457/MAX(1,E457),D457*(C457/12)/(1-(1+C457/12)^(-MAX(1,E457)))),F456)))</f>
        <v>0</v>
      </c>
      <c r="G457" s="70">
        <f t="shared" ca="1" si="154"/>
        <v>0</v>
      </c>
      <c r="H457" s="70">
        <f t="shared" ca="1" si="155"/>
        <v>0</v>
      </c>
      <c r="I457" s="70">
        <f t="shared" ca="1" si="156"/>
        <v>0</v>
      </c>
      <c r="J457" s="70">
        <f>SUMIFS(入力設定!$G$5:$G$24,入力設定!$F$5:$F$24,A457)</f>
        <v>0</v>
      </c>
      <c r="K457" s="70">
        <f t="shared" ca="1" si="157"/>
        <v>0</v>
      </c>
      <c r="L457" s="70">
        <f ca="1">IF(K457&gt;0,入力設定!$B$9,0)</f>
        <v>0</v>
      </c>
      <c r="M457" s="70">
        <f t="shared" ca="1" si="158"/>
        <v>0</v>
      </c>
      <c r="N457" s="70">
        <f ca="1">IF(M457+AA457&lt;0.000001,0,IF(AND(K457&gt;0,入力設定!$B$8="期間短縮型",AA457&lt;0.000001,F457&gt;M457*C457/12),MAX(1,MIN(E457-1,IF(C457=0,ROUNDUP(M457/F457,0),ROUNDUP(-LN(1-M457*(C457/12)/F457)/LN(1+C457/12),0)))),MAX(1,E457-1)))</f>
        <v>0</v>
      </c>
      <c r="O457" s="70">
        <f t="shared" ca="1" si="159"/>
        <v>0</v>
      </c>
      <c r="P457" s="70">
        <f t="shared" ca="1" si="173"/>
        <v>0</v>
      </c>
      <c r="Q457" s="70">
        <f ca="1">IF(OR(A457&gt;入力設定!$B$6*12,P457+AC457&lt;0.000001),0,IF(P457&lt;0.000001,Q456,IF(AE457=1,IF(C457=0,P457/MAX(1,入力設定!$B$6*12-A457+1),P457*(C457/12)/(1-(1+C457/12)^(-MAX(1,入力設定!$B$6*12-A457+1)))),Q456)))</f>
        <v>0</v>
      </c>
      <c r="R457" s="70">
        <f ca="1">IF(P457+AC457&lt;0.000001,0,IF(A457=入力設定!$B$6*12,P457+AB457+AC457,MIN(Q457,P457+AB457+AC457)))</f>
        <v>0</v>
      </c>
      <c r="S457" s="70">
        <f t="shared" ca="1" si="160"/>
        <v>0</v>
      </c>
      <c r="T457" s="70">
        <f t="shared" ca="1" si="161"/>
        <v>0</v>
      </c>
      <c r="U457" s="70">
        <f t="shared" ca="1" si="162"/>
        <v>0</v>
      </c>
      <c r="V457" s="70">
        <f t="shared" ca="1" si="163"/>
        <v>0</v>
      </c>
      <c r="W457" s="70">
        <f t="shared" ca="1" si="164"/>
        <v>0</v>
      </c>
      <c r="X457" s="70">
        <f t="shared" ca="1" si="165"/>
        <v>0</v>
      </c>
      <c r="Y457" s="71">
        <f t="shared" ca="1" si="166"/>
        <v>0</v>
      </c>
      <c r="Z457" s="71">
        <f t="shared" ca="1" si="174"/>
        <v>0</v>
      </c>
      <c r="AA457" s="71">
        <f t="shared" ca="1" si="167"/>
        <v>0</v>
      </c>
      <c r="AB457" s="71">
        <f t="shared" ca="1" si="168"/>
        <v>0</v>
      </c>
      <c r="AC457" s="71">
        <f t="shared" ca="1" si="175"/>
        <v>0</v>
      </c>
      <c r="AD457" s="71">
        <f t="shared" ca="1" si="169"/>
        <v>0</v>
      </c>
      <c r="AE457" s="72">
        <f t="shared" si="170"/>
        <v>0</v>
      </c>
      <c r="AF457" s="73">
        <f>IF(A457&gt;入力設定!$B$6*12,0,IF(AND(ISNUMBER(C457),C457&gt;=0,C457&lt;=1),0,1))</f>
        <v>0</v>
      </c>
    </row>
    <row r="458" spans="1:32" ht="21" customHeight="1">
      <c r="A458" s="68">
        <f>453</f>
        <v>453</v>
      </c>
      <c r="B458" s="69">
        <f>EDATE(入力設定!$B$7,A458-1)</f>
        <v>60084</v>
      </c>
      <c r="C458" s="80">
        <f>INDEX(入力設定!$C$15:$C$24,INT((A458-1)/60)+1)</f>
        <v>0.05</v>
      </c>
      <c r="D458" s="70">
        <f t="shared" ca="1" si="171"/>
        <v>0</v>
      </c>
      <c r="E458" s="70">
        <f t="shared" ca="1" si="172"/>
        <v>0</v>
      </c>
      <c r="F458" s="70">
        <f ca="1">IF(D458+Z458&lt;0.000001,0,IF(D458&lt;0.000001,F457,IF(OR(AE458=1,AND(K457&gt;0,入力設定!$B$8="返済額軽減型",入力設定!$B$11="翌月")),IF(C458=0,D458/MAX(1,E458),D458*(C458/12)/(1-(1+C458/12)^(-MAX(1,E458)))),F457)))</f>
        <v>0</v>
      </c>
      <c r="G458" s="70">
        <f t="shared" ca="1" si="154"/>
        <v>0</v>
      </c>
      <c r="H458" s="70">
        <f t="shared" ca="1" si="155"/>
        <v>0</v>
      </c>
      <c r="I458" s="70">
        <f t="shared" ca="1" si="156"/>
        <v>0</v>
      </c>
      <c r="J458" s="70">
        <f>SUMIFS(入力設定!$G$5:$G$24,入力設定!$F$5:$F$24,A458)</f>
        <v>0</v>
      </c>
      <c r="K458" s="70">
        <f t="shared" ca="1" si="157"/>
        <v>0</v>
      </c>
      <c r="L458" s="70">
        <f ca="1">IF(K458&gt;0,入力設定!$B$9,0)</f>
        <v>0</v>
      </c>
      <c r="M458" s="70">
        <f t="shared" ca="1" si="158"/>
        <v>0</v>
      </c>
      <c r="N458" s="70">
        <f ca="1">IF(M458+AA458&lt;0.000001,0,IF(AND(K458&gt;0,入力設定!$B$8="期間短縮型",AA458&lt;0.000001,F458&gt;M458*C458/12),MAX(1,MIN(E458-1,IF(C458=0,ROUNDUP(M458/F458,0),ROUNDUP(-LN(1-M458*(C458/12)/F458)/LN(1+C458/12),0)))),MAX(1,E458-1)))</f>
        <v>0</v>
      </c>
      <c r="O458" s="70">
        <f t="shared" ca="1" si="159"/>
        <v>0</v>
      </c>
      <c r="P458" s="70">
        <f t="shared" ca="1" si="173"/>
        <v>0</v>
      </c>
      <c r="Q458" s="70">
        <f ca="1">IF(OR(A458&gt;入力設定!$B$6*12,P458+AC458&lt;0.000001),0,IF(P458&lt;0.000001,Q457,IF(AE458=1,IF(C458=0,P458/MAX(1,入力設定!$B$6*12-A458+1),P458*(C458/12)/(1-(1+C458/12)^(-MAX(1,入力設定!$B$6*12-A458+1)))),Q457)))</f>
        <v>0</v>
      </c>
      <c r="R458" s="70">
        <f ca="1">IF(P458+AC458&lt;0.000001,0,IF(A458=入力設定!$B$6*12,P458+AB458+AC458,MIN(Q458,P458+AB458+AC458)))</f>
        <v>0</v>
      </c>
      <c r="S458" s="70">
        <f t="shared" ca="1" si="160"/>
        <v>0</v>
      </c>
      <c r="T458" s="70">
        <f t="shared" ca="1" si="161"/>
        <v>0</v>
      </c>
      <c r="U458" s="70">
        <f t="shared" ca="1" si="162"/>
        <v>0</v>
      </c>
      <c r="V458" s="70">
        <f t="shared" ca="1" si="163"/>
        <v>0</v>
      </c>
      <c r="W458" s="70">
        <f t="shared" ca="1" si="164"/>
        <v>0</v>
      </c>
      <c r="X458" s="70">
        <f t="shared" ca="1" si="165"/>
        <v>0</v>
      </c>
      <c r="Y458" s="71">
        <f t="shared" ca="1" si="166"/>
        <v>0</v>
      </c>
      <c r="Z458" s="71">
        <f t="shared" ca="1" si="174"/>
        <v>0</v>
      </c>
      <c r="AA458" s="71">
        <f t="shared" ca="1" si="167"/>
        <v>0</v>
      </c>
      <c r="AB458" s="71">
        <f t="shared" ca="1" si="168"/>
        <v>0</v>
      </c>
      <c r="AC458" s="71">
        <f t="shared" ca="1" si="175"/>
        <v>0</v>
      </c>
      <c r="AD458" s="71">
        <f t="shared" ca="1" si="169"/>
        <v>0</v>
      </c>
      <c r="AE458" s="72">
        <f t="shared" si="170"/>
        <v>0</v>
      </c>
      <c r="AF458" s="73">
        <f>IF(A458&gt;入力設定!$B$6*12,0,IF(AND(ISNUMBER(C458),C458&gt;=0,C458&lt;=1),0,1))</f>
        <v>0</v>
      </c>
    </row>
    <row r="459" spans="1:32" ht="21" customHeight="1">
      <c r="A459" s="68">
        <f>454</f>
        <v>454</v>
      </c>
      <c r="B459" s="69">
        <f>EDATE(入力設定!$B$7,A459-1)</f>
        <v>60115</v>
      </c>
      <c r="C459" s="80">
        <f>INDEX(入力設定!$C$15:$C$24,INT((A459-1)/60)+1)</f>
        <v>0.05</v>
      </c>
      <c r="D459" s="70">
        <f t="shared" ca="1" si="171"/>
        <v>0</v>
      </c>
      <c r="E459" s="70">
        <f t="shared" ca="1" si="172"/>
        <v>0</v>
      </c>
      <c r="F459" s="70">
        <f ca="1">IF(D459+Z459&lt;0.000001,0,IF(D459&lt;0.000001,F458,IF(OR(AE459=1,AND(K458&gt;0,入力設定!$B$8="返済額軽減型",入力設定!$B$11="翌月")),IF(C459=0,D459/MAX(1,E459),D459*(C459/12)/(1-(1+C459/12)^(-MAX(1,E459)))),F458)))</f>
        <v>0</v>
      </c>
      <c r="G459" s="70">
        <f t="shared" ca="1" si="154"/>
        <v>0</v>
      </c>
      <c r="H459" s="70">
        <f t="shared" ca="1" si="155"/>
        <v>0</v>
      </c>
      <c r="I459" s="70">
        <f t="shared" ca="1" si="156"/>
        <v>0</v>
      </c>
      <c r="J459" s="70">
        <f>SUMIFS(入力設定!$G$5:$G$24,入力設定!$F$5:$F$24,A459)</f>
        <v>0</v>
      </c>
      <c r="K459" s="70">
        <f t="shared" ca="1" si="157"/>
        <v>0</v>
      </c>
      <c r="L459" s="70">
        <f ca="1">IF(K459&gt;0,入力設定!$B$9,0)</f>
        <v>0</v>
      </c>
      <c r="M459" s="70">
        <f t="shared" ca="1" si="158"/>
        <v>0</v>
      </c>
      <c r="N459" s="70">
        <f ca="1">IF(M459+AA459&lt;0.000001,0,IF(AND(K459&gt;0,入力設定!$B$8="期間短縮型",AA459&lt;0.000001,F459&gt;M459*C459/12),MAX(1,MIN(E459-1,IF(C459=0,ROUNDUP(M459/F459,0),ROUNDUP(-LN(1-M459*(C459/12)/F459)/LN(1+C459/12),0)))),MAX(1,E459-1)))</f>
        <v>0</v>
      </c>
      <c r="O459" s="70">
        <f t="shared" ca="1" si="159"/>
        <v>0</v>
      </c>
      <c r="P459" s="70">
        <f t="shared" ca="1" si="173"/>
        <v>0</v>
      </c>
      <c r="Q459" s="70">
        <f ca="1">IF(OR(A459&gt;入力設定!$B$6*12,P459+AC459&lt;0.000001),0,IF(P459&lt;0.000001,Q458,IF(AE459=1,IF(C459=0,P459/MAX(1,入力設定!$B$6*12-A459+1),P459*(C459/12)/(1-(1+C459/12)^(-MAX(1,入力設定!$B$6*12-A459+1)))),Q458)))</f>
        <v>0</v>
      </c>
      <c r="R459" s="70">
        <f ca="1">IF(P459+AC459&lt;0.000001,0,IF(A459=入力設定!$B$6*12,P459+AB459+AC459,MIN(Q459,P459+AB459+AC459)))</f>
        <v>0</v>
      </c>
      <c r="S459" s="70">
        <f t="shared" ca="1" si="160"/>
        <v>0</v>
      </c>
      <c r="T459" s="70">
        <f t="shared" ca="1" si="161"/>
        <v>0</v>
      </c>
      <c r="U459" s="70">
        <f t="shared" ca="1" si="162"/>
        <v>0</v>
      </c>
      <c r="V459" s="70">
        <f t="shared" ca="1" si="163"/>
        <v>0</v>
      </c>
      <c r="W459" s="70">
        <f t="shared" ca="1" si="164"/>
        <v>0</v>
      </c>
      <c r="X459" s="70">
        <f t="shared" ca="1" si="165"/>
        <v>0</v>
      </c>
      <c r="Y459" s="71">
        <f t="shared" ca="1" si="166"/>
        <v>0</v>
      </c>
      <c r="Z459" s="71">
        <f t="shared" ca="1" si="174"/>
        <v>0</v>
      </c>
      <c r="AA459" s="71">
        <f t="shared" ca="1" si="167"/>
        <v>0</v>
      </c>
      <c r="AB459" s="71">
        <f t="shared" ca="1" si="168"/>
        <v>0</v>
      </c>
      <c r="AC459" s="71">
        <f t="shared" ca="1" si="175"/>
        <v>0</v>
      </c>
      <c r="AD459" s="71">
        <f t="shared" ca="1" si="169"/>
        <v>0</v>
      </c>
      <c r="AE459" s="72">
        <f t="shared" si="170"/>
        <v>0</v>
      </c>
      <c r="AF459" s="73">
        <f>IF(A459&gt;入力設定!$B$6*12,0,IF(AND(ISNUMBER(C459),C459&gt;=0,C459&lt;=1),0,1))</f>
        <v>0</v>
      </c>
    </row>
    <row r="460" spans="1:32" ht="21" customHeight="1">
      <c r="A460" s="68">
        <f>455</f>
        <v>455</v>
      </c>
      <c r="B460" s="69">
        <f>EDATE(入力設定!$B$7,A460-1)</f>
        <v>60146</v>
      </c>
      <c r="C460" s="80">
        <f>INDEX(入力設定!$C$15:$C$24,INT((A460-1)/60)+1)</f>
        <v>0.05</v>
      </c>
      <c r="D460" s="70">
        <f t="shared" ca="1" si="171"/>
        <v>0</v>
      </c>
      <c r="E460" s="70">
        <f t="shared" ca="1" si="172"/>
        <v>0</v>
      </c>
      <c r="F460" s="70">
        <f ca="1">IF(D460+Z460&lt;0.000001,0,IF(D460&lt;0.000001,F459,IF(OR(AE460=1,AND(K459&gt;0,入力設定!$B$8="返済額軽減型",入力設定!$B$11="翌月")),IF(C460=0,D460/MAX(1,E460),D460*(C460/12)/(1-(1+C460/12)^(-MAX(1,E460)))),F459)))</f>
        <v>0</v>
      </c>
      <c r="G460" s="70">
        <f t="shared" ca="1" si="154"/>
        <v>0</v>
      </c>
      <c r="H460" s="70">
        <f t="shared" ca="1" si="155"/>
        <v>0</v>
      </c>
      <c r="I460" s="70">
        <f t="shared" ca="1" si="156"/>
        <v>0</v>
      </c>
      <c r="J460" s="70">
        <f>SUMIFS(入力設定!$G$5:$G$24,入力設定!$F$5:$F$24,A460)</f>
        <v>0</v>
      </c>
      <c r="K460" s="70">
        <f t="shared" ca="1" si="157"/>
        <v>0</v>
      </c>
      <c r="L460" s="70">
        <f ca="1">IF(K460&gt;0,入力設定!$B$9,0)</f>
        <v>0</v>
      </c>
      <c r="M460" s="70">
        <f t="shared" ca="1" si="158"/>
        <v>0</v>
      </c>
      <c r="N460" s="70">
        <f ca="1">IF(M460+AA460&lt;0.000001,0,IF(AND(K460&gt;0,入力設定!$B$8="期間短縮型",AA460&lt;0.000001,F460&gt;M460*C460/12),MAX(1,MIN(E460-1,IF(C460=0,ROUNDUP(M460/F460,0),ROUNDUP(-LN(1-M460*(C460/12)/F460)/LN(1+C460/12),0)))),MAX(1,E460-1)))</f>
        <v>0</v>
      </c>
      <c r="O460" s="70">
        <f t="shared" ca="1" si="159"/>
        <v>0</v>
      </c>
      <c r="P460" s="70">
        <f t="shared" ca="1" si="173"/>
        <v>0</v>
      </c>
      <c r="Q460" s="70">
        <f ca="1">IF(OR(A460&gt;入力設定!$B$6*12,P460+AC460&lt;0.000001),0,IF(P460&lt;0.000001,Q459,IF(AE460=1,IF(C460=0,P460/MAX(1,入力設定!$B$6*12-A460+1),P460*(C460/12)/(1-(1+C460/12)^(-MAX(1,入力設定!$B$6*12-A460+1)))),Q459)))</f>
        <v>0</v>
      </c>
      <c r="R460" s="70">
        <f ca="1">IF(P460+AC460&lt;0.000001,0,IF(A460=入力設定!$B$6*12,P460+AB460+AC460,MIN(Q460,P460+AB460+AC460)))</f>
        <v>0</v>
      </c>
      <c r="S460" s="70">
        <f t="shared" ca="1" si="160"/>
        <v>0</v>
      </c>
      <c r="T460" s="70">
        <f t="shared" ca="1" si="161"/>
        <v>0</v>
      </c>
      <c r="U460" s="70">
        <f t="shared" ca="1" si="162"/>
        <v>0</v>
      </c>
      <c r="V460" s="70">
        <f t="shared" ca="1" si="163"/>
        <v>0</v>
      </c>
      <c r="W460" s="70">
        <f t="shared" ca="1" si="164"/>
        <v>0</v>
      </c>
      <c r="X460" s="70">
        <f t="shared" ca="1" si="165"/>
        <v>0</v>
      </c>
      <c r="Y460" s="71">
        <f t="shared" ca="1" si="166"/>
        <v>0</v>
      </c>
      <c r="Z460" s="71">
        <f t="shared" ca="1" si="174"/>
        <v>0</v>
      </c>
      <c r="AA460" s="71">
        <f t="shared" ca="1" si="167"/>
        <v>0</v>
      </c>
      <c r="AB460" s="71">
        <f t="shared" ca="1" si="168"/>
        <v>0</v>
      </c>
      <c r="AC460" s="71">
        <f t="shared" ca="1" si="175"/>
        <v>0</v>
      </c>
      <c r="AD460" s="71">
        <f t="shared" ca="1" si="169"/>
        <v>0</v>
      </c>
      <c r="AE460" s="72">
        <f t="shared" si="170"/>
        <v>0</v>
      </c>
      <c r="AF460" s="73">
        <f>IF(A460&gt;入力設定!$B$6*12,0,IF(AND(ISNUMBER(C460),C460&gt;=0,C460&lt;=1),0,1))</f>
        <v>0</v>
      </c>
    </row>
    <row r="461" spans="1:32" ht="21" customHeight="1">
      <c r="A461" s="68">
        <f>456</f>
        <v>456</v>
      </c>
      <c r="B461" s="69">
        <f>EDATE(入力設定!$B$7,A461-1)</f>
        <v>60176</v>
      </c>
      <c r="C461" s="80">
        <f>INDEX(入力設定!$C$15:$C$24,INT((A461-1)/60)+1)</f>
        <v>0.05</v>
      </c>
      <c r="D461" s="70">
        <f t="shared" ca="1" si="171"/>
        <v>0</v>
      </c>
      <c r="E461" s="70">
        <f t="shared" ca="1" si="172"/>
        <v>0</v>
      </c>
      <c r="F461" s="70">
        <f ca="1">IF(D461+Z461&lt;0.000001,0,IF(D461&lt;0.000001,F460,IF(OR(AE461=1,AND(K460&gt;0,入力設定!$B$8="返済額軽減型",入力設定!$B$11="翌月")),IF(C461=0,D461/MAX(1,E461),D461*(C461/12)/(1-(1+C461/12)^(-MAX(1,E461)))),F460)))</f>
        <v>0</v>
      </c>
      <c r="G461" s="70">
        <f t="shared" ca="1" si="154"/>
        <v>0</v>
      </c>
      <c r="H461" s="70">
        <f t="shared" ca="1" si="155"/>
        <v>0</v>
      </c>
      <c r="I461" s="70">
        <f t="shared" ca="1" si="156"/>
        <v>0</v>
      </c>
      <c r="J461" s="70">
        <f>SUMIFS(入力設定!$G$5:$G$24,入力設定!$F$5:$F$24,A461)</f>
        <v>0</v>
      </c>
      <c r="K461" s="70">
        <f t="shared" ca="1" si="157"/>
        <v>0</v>
      </c>
      <c r="L461" s="70">
        <f ca="1">IF(K461&gt;0,入力設定!$B$9,0)</f>
        <v>0</v>
      </c>
      <c r="M461" s="70">
        <f t="shared" ca="1" si="158"/>
        <v>0</v>
      </c>
      <c r="N461" s="70">
        <f ca="1">IF(M461+AA461&lt;0.000001,0,IF(AND(K461&gt;0,入力設定!$B$8="期間短縮型",AA461&lt;0.000001,F461&gt;M461*C461/12),MAX(1,MIN(E461-1,IF(C461=0,ROUNDUP(M461/F461,0),ROUNDUP(-LN(1-M461*(C461/12)/F461)/LN(1+C461/12),0)))),MAX(1,E461-1)))</f>
        <v>0</v>
      </c>
      <c r="O461" s="70">
        <f t="shared" ca="1" si="159"/>
        <v>0</v>
      </c>
      <c r="P461" s="70">
        <f t="shared" ca="1" si="173"/>
        <v>0</v>
      </c>
      <c r="Q461" s="70">
        <f ca="1">IF(OR(A461&gt;入力設定!$B$6*12,P461+AC461&lt;0.000001),0,IF(P461&lt;0.000001,Q460,IF(AE461=1,IF(C461=0,P461/MAX(1,入力設定!$B$6*12-A461+1),P461*(C461/12)/(1-(1+C461/12)^(-MAX(1,入力設定!$B$6*12-A461+1)))),Q460)))</f>
        <v>0</v>
      </c>
      <c r="R461" s="70">
        <f ca="1">IF(P461+AC461&lt;0.000001,0,IF(A461=入力設定!$B$6*12,P461+AB461+AC461,MIN(Q461,P461+AB461+AC461)))</f>
        <v>0</v>
      </c>
      <c r="S461" s="70">
        <f t="shared" ca="1" si="160"/>
        <v>0</v>
      </c>
      <c r="T461" s="70">
        <f t="shared" ca="1" si="161"/>
        <v>0</v>
      </c>
      <c r="U461" s="70">
        <f t="shared" ca="1" si="162"/>
        <v>0</v>
      </c>
      <c r="V461" s="70">
        <f t="shared" ca="1" si="163"/>
        <v>0</v>
      </c>
      <c r="W461" s="70">
        <f t="shared" ca="1" si="164"/>
        <v>0</v>
      </c>
      <c r="X461" s="70">
        <f t="shared" ca="1" si="165"/>
        <v>0</v>
      </c>
      <c r="Y461" s="71">
        <f t="shared" ca="1" si="166"/>
        <v>0</v>
      </c>
      <c r="Z461" s="71">
        <f t="shared" ca="1" si="174"/>
        <v>0</v>
      </c>
      <c r="AA461" s="71">
        <f t="shared" ca="1" si="167"/>
        <v>0</v>
      </c>
      <c r="AB461" s="71">
        <f t="shared" ca="1" si="168"/>
        <v>0</v>
      </c>
      <c r="AC461" s="71">
        <f t="shared" ca="1" si="175"/>
        <v>0</v>
      </c>
      <c r="AD461" s="71">
        <f t="shared" ca="1" si="169"/>
        <v>0</v>
      </c>
      <c r="AE461" s="72">
        <f t="shared" si="170"/>
        <v>0</v>
      </c>
      <c r="AF461" s="73">
        <f>IF(A461&gt;入力設定!$B$6*12,0,IF(AND(ISNUMBER(C461),C461&gt;=0,C461&lt;=1),0,1))</f>
        <v>0</v>
      </c>
    </row>
    <row r="462" spans="1:32" ht="21" customHeight="1">
      <c r="A462" s="68">
        <f>457</f>
        <v>457</v>
      </c>
      <c r="B462" s="69">
        <f>EDATE(入力設定!$B$7,A462-1)</f>
        <v>60207</v>
      </c>
      <c r="C462" s="80">
        <f>INDEX(入力設定!$C$15:$C$24,INT((A462-1)/60)+1)</f>
        <v>0.05</v>
      </c>
      <c r="D462" s="70">
        <f t="shared" ca="1" si="171"/>
        <v>0</v>
      </c>
      <c r="E462" s="70">
        <f t="shared" ca="1" si="172"/>
        <v>0</v>
      </c>
      <c r="F462" s="70">
        <f ca="1">IF(D462+Z462&lt;0.000001,0,IF(D462&lt;0.000001,F461,IF(OR(AE462=1,AND(K461&gt;0,入力設定!$B$8="返済額軽減型",入力設定!$B$11="翌月")),IF(C462=0,D462/MAX(1,E462),D462*(C462/12)/(1-(1+C462/12)^(-MAX(1,E462)))),F461)))</f>
        <v>0</v>
      </c>
      <c r="G462" s="70">
        <f t="shared" ca="1" si="154"/>
        <v>0</v>
      </c>
      <c r="H462" s="70">
        <f t="shared" ca="1" si="155"/>
        <v>0</v>
      </c>
      <c r="I462" s="70">
        <f t="shared" ca="1" si="156"/>
        <v>0</v>
      </c>
      <c r="J462" s="70">
        <f>SUMIFS(入力設定!$G$5:$G$24,入力設定!$F$5:$F$24,A462)</f>
        <v>0</v>
      </c>
      <c r="K462" s="70">
        <f t="shared" ca="1" si="157"/>
        <v>0</v>
      </c>
      <c r="L462" s="70">
        <f ca="1">IF(K462&gt;0,入力設定!$B$9,0)</f>
        <v>0</v>
      </c>
      <c r="M462" s="70">
        <f t="shared" ca="1" si="158"/>
        <v>0</v>
      </c>
      <c r="N462" s="70">
        <f ca="1">IF(M462+AA462&lt;0.000001,0,IF(AND(K462&gt;0,入力設定!$B$8="期間短縮型",AA462&lt;0.000001,F462&gt;M462*C462/12),MAX(1,MIN(E462-1,IF(C462=0,ROUNDUP(M462/F462,0),ROUNDUP(-LN(1-M462*(C462/12)/F462)/LN(1+C462/12),0)))),MAX(1,E462-1)))</f>
        <v>0</v>
      </c>
      <c r="O462" s="70">
        <f t="shared" ca="1" si="159"/>
        <v>0</v>
      </c>
      <c r="P462" s="70">
        <f t="shared" ca="1" si="173"/>
        <v>0</v>
      </c>
      <c r="Q462" s="70">
        <f ca="1">IF(OR(A462&gt;入力設定!$B$6*12,P462+AC462&lt;0.000001),0,IF(P462&lt;0.000001,Q461,IF(AE462=1,IF(C462=0,P462/MAX(1,入力設定!$B$6*12-A462+1),P462*(C462/12)/(1-(1+C462/12)^(-MAX(1,入力設定!$B$6*12-A462+1)))),Q461)))</f>
        <v>0</v>
      </c>
      <c r="R462" s="70">
        <f ca="1">IF(P462+AC462&lt;0.000001,0,IF(A462=入力設定!$B$6*12,P462+AB462+AC462,MIN(Q462,P462+AB462+AC462)))</f>
        <v>0</v>
      </c>
      <c r="S462" s="70">
        <f t="shared" ca="1" si="160"/>
        <v>0</v>
      </c>
      <c r="T462" s="70">
        <f t="shared" ca="1" si="161"/>
        <v>0</v>
      </c>
      <c r="U462" s="70">
        <f t="shared" ca="1" si="162"/>
        <v>0</v>
      </c>
      <c r="V462" s="70">
        <f t="shared" ca="1" si="163"/>
        <v>0</v>
      </c>
      <c r="W462" s="70">
        <f t="shared" ca="1" si="164"/>
        <v>0</v>
      </c>
      <c r="X462" s="70">
        <f t="shared" ca="1" si="165"/>
        <v>0</v>
      </c>
      <c r="Y462" s="71">
        <f t="shared" ca="1" si="166"/>
        <v>0</v>
      </c>
      <c r="Z462" s="71">
        <f t="shared" ca="1" si="174"/>
        <v>0</v>
      </c>
      <c r="AA462" s="71">
        <f t="shared" ca="1" si="167"/>
        <v>0</v>
      </c>
      <c r="AB462" s="71">
        <f t="shared" ca="1" si="168"/>
        <v>0</v>
      </c>
      <c r="AC462" s="71">
        <f t="shared" ca="1" si="175"/>
        <v>0</v>
      </c>
      <c r="AD462" s="71">
        <f t="shared" ca="1" si="169"/>
        <v>0</v>
      </c>
      <c r="AE462" s="72">
        <f t="shared" si="170"/>
        <v>0</v>
      </c>
      <c r="AF462" s="73">
        <f>IF(A462&gt;入力設定!$B$6*12,0,IF(AND(ISNUMBER(C462),C462&gt;=0,C462&lt;=1),0,1))</f>
        <v>0</v>
      </c>
    </row>
    <row r="463" spans="1:32" ht="21" customHeight="1">
      <c r="A463" s="68">
        <f>458</f>
        <v>458</v>
      </c>
      <c r="B463" s="69">
        <f>EDATE(入力設定!$B$7,A463-1)</f>
        <v>60237</v>
      </c>
      <c r="C463" s="80">
        <f>INDEX(入力設定!$C$15:$C$24,INT((A463-1)/60)+1)</f>
        <v>0.05</v>
      </c>
      <c r="D463" s="70">
        <f t="shared" ca="1" si="171"/>
        <v>0</v>
      </c>
      <c r="E463" s="70">
        <f t="shared" ca="1" si="172"/>
        <v>0</v>
      </c>
      <c r="F463" s="70">
        <f ca="1">IF(D463+Z463&lt;0.000001,0,IF(D463&lt;0.000001,F462,IF(OR(AE463=1,AND(K462&gt;0,入力設定!$B$8="返済額軽減型",入力設定!$B$11="翌月")),IF(C463=0,D463/MAX(1,E463),D463*(C463/12)/(1-(1+C463/12)^(-MAX(1,E463)))),F462)))</f>
        <v>0</v>
      </c>
      <c r="G463" s="70">
        <f t="shared" ca="1" si="154"/>
        <v>0</v>
      </c>
      <c r="H463" s="70">
        <f t="shared" ca="1" si="155"/>
        <v>0</v>
      </c>
      <c r="I463" s="70">
        <f t="shared" ca="1" si="156"/>
        <v>0</v>
      </c>
      <c r="J463" s="70">
        <f>SUMIFS(入力設定!$G$5:$G$24,入力設定!$F$5:$F$24,A463)</f>
        <v>0</v>
      </c>
      <c r="K463" s="70">
        <f t="shared" ca="1" si="157"/>
        <v>0</v>
      </c>
      <c r="L463" s="70">
        <f ca="1">IF(K463&gt;0,入力設定!$B$9,0)</f>
        <v>0</v>
      </c>
      <c r="M463" s="70">
        <f t="shared" ca="1" si="158"/>
        <v>0</v>
      </c>
      <c r="N463" s="70">
        <f ca="1">IF(M463+AA463&lt;0.000001,0,IF(AND(K463&gt;0,入力設定!$B$8="期間短縮型",AA463&lt;0.000001,F463&gt;M463*C463/12),MAX(1,MIN(E463-1,IF(C463=0,ROUNDUP(M463/F463,0),ROUNDUP(-LN(1-M463*(C463/12)/F463)/LN(1+C463/12),0)))),MAX(1,E463-1)))</f>
        <v>0</v>
      </c>
      <c r="O463" s="70">
        <f t="shared" ca="1" si="159"/>
        <v>0</v>
      </c>
      <c r="P463" s="70">
        <f t="shared" ca="1" si="173"/>
        <v>0</v>
      </c>
      <c r="Q463" s="70">
        <f ca="1">IF(OR(A463&gt;入力設定!$B$6*12,P463+AC463&lt;0.000001),0,IF(P463&lt;0.000001,Q462,IF(AE463=1,IF(C463=0,P463/MAX(1,入力設定!$B$6*12-A463+1),P463*(C463/12)/(1-(1+C463/12)^(-MAX(1,入力設定!$B$6*12-A463+1)))),Q462)))</f>
        <v>0</v>
      </c>
      <c r="R463" s="70">
        <f ca="1">IF(P463+AC463&lt;0.000001,0,IF(A463=入力設定!$B$6*12,P463+AB463+AC463,MIN(Q463,P463+AB463+AC463)))</f>
        <v>0</v>
      </c>
      <c r="S463" s="70">
        <f t="shared" ca="1" si="160"/>
        <v>0</v>
      </c>
      <c r="T463" s="70">
        <f t="shared" ca="1" si="161"/>
        <v>0</v>
      </c>
      <c r="U463" s="70">
        <f t="shared" ca="1" si="162"/>
        <v>0</v>
      </c>
      <c r="V463" s="70">
        <f t="shared" ca="1" si="163"/>
        <v>0</v>
      </c>
      <c r="W463" s="70">
        <f t="shared" ca="1" si="164"/>
        <v>0</v>
      </c>
      <c r="X463" s="70">
        <f t="shared" ca="1" si="165"/>
        <v>0</v>
      </c>
      <c r="Y463" s="71">
        <f t="shared" ca="1" si="166"/>
        <v>0</v>
      </c>
      <c r="Z463" s="71">
        <f t="shared" ca="1" si="174"/>
        <v>0</v>
      </c>
      <c r="AA463" s="71">
        <f t="shared" ca="1" si="167"/>
        <v>0</v>
      </c>
      <c r="AB463" s="71">
        <f t="shared" ca="1" si="168"/>
        <v>0</v>
      </c>
      <c r="AC463" s="71">
        <f t="shared" ca="1" si="175"/>
        <v>0</v>
      </c>
      <c r="AD463" s="71">
        <f t="shared" ca="1" si="169"/>
        <v>0</v>
      </c>
      <c r="AE463" s="72">
        <f t="shared" si="170"/>
        <v>0</v>
      </c>
      <c r="AF463" s="73">
        <f>IF(A463&gt;入力設定!$B$6*12,0,IF(AND(ISNUMBER(C463),C463&gt;=0,C463&lt;=1),0,1))</f>
        <v>0</v>
      </c>
    </row>
    <row r="464" spans="1:32" ht="21" customHeight="1">
      <c r="A464" s="68">
        <f>459</f>
        <v>459</v>
      </c>
      <c r="B464" s="69">
        <f>EDATE(入力設定!$B$7,A464-1)</f>
        <v>60268</v>
      </c>
      <c r="C464" s="80">
        <f>INDEX(入力設定!$C$15:$C$24,INT((A464-1)/60)+1)</f>
        <v>0.05</v>
      </c>
      <c r="D464" s="70">
        <f t="shared" ca="1" si="171"/>
        <v>0</v>
      </c>
      <c r="E464" s="70">
        <f t="shared" ca="1" si="172"/>
        <v>0</v>
      </c>
      <c r="F464" s="70">
        <f ca="1">IF(D464+Z464&lt;0.000001,0,IF(D464&lt;0.000001,F463,IF(OR(AE464=1,AND(K463&gt;0,入力設定!$B$8="返済額軽減型",入力設定!$B$11="翌月")),IF(C464=0,D464/MAX(1,E464),D464*(C464/12)/(1-(1+C464/12)^(-MAX(1,E464)))),F463)))</f>
        <v>0</v>
      </c>
      <c r="G464" s="70">
        <f t="shared" ca="1" si="154"/>
        <v>0</v>
      </c>
      <c r="H464" s="70">
        <f t="shared" ca="1" si="155"/>
        <v>0</v>
      </c>
      <c r="I464" s="70">
        <f t="shared" ca="1" si="156"/>
        <v>0</v>
      </c>
      <c r="J464" s="70">
        <f>SUMIFS(入力設定!$G$5:$G$24,入力設定!$F$5:$F$24,A464)</f>
        <v>0</v>
      </c>
      <c r="K464" s="70">
        <f t="shared" ca="1" si="157"/>
        <v>0</v>
      </c>
      <c r="L464" s="70">
        <f ca="1">IF(K464&gt;0,入力設定!$B$9,0)</f>
        <v>0</v>
      </c>
      <c r="M464" s="70">
        <f t="shared" ca="1" si="158"/>
        <v>0</v>
      </c>
      <c r="N464" s="70">
        <f ca="1">IF(M464+AA464&lt;0.000001,0,IF(AND(K464&gt;0,入力設定!$B$8="期間短縮型",AA464&lt;0.000001,F464&gt;M464*C464/12),MAX(1,MIN(E464-1,IF(C464=0,ROUNDUP(M464/F464,0),ROUNDUP(-LN(1-M464*(C464/12)/F464)/LN(1+C464/12),0)))),MAX(1,E464-1)))</f>
        <v>0</v>
      </c>
      <c r="O464" s="70">
        <f t="shared" ca="1" si="159"/>
        <v>0</v>
      </c>
      <c r="P464" s="70">
        <f t="shared" ca="1" si="173"/>
        <v>0</v>
      </c>
      <c r="Q464" s="70">
        <f ca="1">IF(OR(A464&gt;入力設定!$B$6*12,P464+AC464&lt;0.000001),0,IF(P464&lt;0.000001,Q463,IF(AE464=1,IF(C464=0,P464/MAX(1,入力設定!$B$6*12-A464+1),P464*(C464/12)/(1-(1+C464/12)^(-MAX(1,入力設定!$B$6*12-A464+1)))),Q463)))</f>
        <v>0</v>
      </c>
      <c r="R464" s="70">
        <f ca="1">IF(P464+AC464&lt;0.000001,0,IF(A464=入力設定!$B$6*12,P464+AB464+AC464,MIN(Q464,P464+AB464+AC464)))</f>
        <v>0</v>
      </c>
      <c r="S464" s="70">
        <f t="shared" ca="1" si="160"/>
        <v>0</v>
      </c>
      <c r="T464" s="70">
        <f t="shared" ca="1" si="161"/>
        <v>0</v>
      </c>
      <c r="U464" s="70">
        <f t="shared" ca="1" si="162"/>
        <v>0</v>
      </c>
      <c r="V464" s="70">
        <f t="shared" ca="1" si="163"/>
        <v>0</v>
      </c>
      <c r="W464" s="70">
        <f t="shared" ca="1" si="164"/>
        <v>0</v>
      </c>
      <c r="X464" s="70">
        <f t="shared" ca="1" si="165"/>
        <v>0</v>
      </c>
      <c r="Y464" s="71">
        <f t="shared" ca="1" si="166"/>
        <v>0</v>
      </c>
      <c r="Z464" s="71">
        <f t="shared" ca="1" si="174"/>
        <v>0</v>
      </c>
      <c r="AA464" s="71">
        <f t="shared" ca="1" si="167"/>
        <v>0</v>
      </c>
      <c r="AB464" s="71">
        <f t="shared" ca="1" si="168"/>
        <v>0</v>
      </c>
      <c r="AC464" s="71">
        <f t="shared" ca="1" si="175"/>
        <v>0</v>
      </c>
      <c r="AD464" s="71">
        <f t="shared" ca="1" si="169"/>
        <v>0</v>
      </c>
      <c r="AE464" s="72">
        <f t="shared" si="170"/>
        <v>0</v>
      </c>
      <c r="AF464" s="73">
        <f>IF(A464&gt;入力設定!$B$6*12,0,IF(AND(ISNUMBER(C464),C464&gt;=0,C464&lt;=1),0,1))</f>
        <v>0</v>
      </c>
    </row>
    <row r="465" spans="1:32" ht="21" customHeight="1">
      <c r="A465" s="68">
        <f>460</f>
        <v>460</v>
      </c>
      <c r="B465" s="69">
        <f>EDATE(入力設定!$B$7,A465-1)</f>
        <v>60299</v>
      </c>
      <c r="C465" s="80">
        <f>INDEX(入力設定!$C$15:$C$24,INT((A465-1)/60)+1)</f>
        <v>0.05</v>
      </c>
      <c r="D465" s="70">
        <f t="shared" ca="1" si="171"/>
        <v>0</v>
      </c>
      <c r="E465" s="70">
        <f t="shared" ca="1" si="172"/>
        <v>0</v>
      </c>
      <c r="F465" s="70">
        <f ca="1">IF(D465+Z465&lt;0.000001,0,IF(D465&lt;0.000001,F464,IF(OR(AE465=1,AND(K464&gt;0,入力設定!$B$8="返済額軽減型",入力設定!$B$11="翌月")),IF(C465=0,D465/MAX(1,E465),D465*(C465/12)/(1-(1+C465/12)^(-MAX(1,E465)))),F464)))</f>
        <v>0</v>
      </c>
      <c r="G465" s="70">
        <f t="shared" ca="1" si="154"/>
        <v>0</v>
      </c>
      <c r="H465" s="70">
        <f t="shared" ca="1" si="155"/>
        <v>0</v>
      </c>
      <c r="I465" s="70">
        <f t="shared" ca="1" si="156"/>
        <v>0</v>
      </c>
      <c r="J465" s="70">
        <f>SUMIFS(入力設定!$G$5:$G$24,入力設定!$F$5:$F$24,A465)</f>
        <v>0</v>
      </c>
      <c r="K465" s="70">
        <f t="shared" ca="1" si="157"/>
        <v>0</v>
      </c>
      <c r="L465" s="70">
        <f ca="1">IF(K465&gt;0,入力設定!$B$9,0)</f>
        <v>0</v>
      </c>
      <c r="M465" s="70">
        <f t="shared" ca="1" si="158"/>
        <v>0</v>
      </c>
      <c r="N465" s="70">
        <f ca="1">IF(M465+AA465&lt;0.000001,0,IF(AND(K465&gt;0,入力設定!$B$8="期間短縮型",AA465&lt;0.000001,F465&gt;M465*C465/12),MAX(1,MIN(E465-1,IF(C465=0,ROUNDUP(M465/F465,0),ROUNDUP(-LN(1-M465*(C465/12)/F465)/LN(1+C465/12),0)))),MAX(1,E465-1)))</f>
        <v>0</v>
      </c>
      <c r="O465" s="70">
        <f t="shared" ca="1" si="159"/>
        <v>0</v>
      </c>
      <c r="P465" s="70">
        <f t="shared" ca="1" si="173"/>
        <v>0</v>
      </c>
      <c r="Q465" s="70">
        <f ca="1">IF(OR(A465&gt;入力設定!$B$6*12,P465+AC465&lt;0.000001),0,IF(P465&lt;0.000001,Q464,IF(AE465=1,IF(C465=0,P465/MAX(1,入力設定!$B$6*12-A465+1),P465*(C465/12)/(1-(1+C465/12)^(-MAX(1,入力設定!$B$6*12-A465+1)))),Q464)))</f>
        <v>0</v>
      </c>
      <c r="R465" s="70">
        <f ca="1">IF(P465+AC465&lt;0.000001,0,IF(A465=入力設定!$B$6*12,P465+AB465+AC465,MIN(Q465,P465+AB465+AC465)))</f>
        <v>0</v>
      </c>
      <c r="S465" s="70">
        <f t="shared" ca="1" si="160"/>
        <v>0</v>
      </c>
      <c r="T465" s="70">
        <f t="shared" ca="1" si="161"/>
        <v>0</v>
      </c>
      <c r="U465" s="70">
        <f t="shared" ca="1" si="162"/>
        <v>0</v>
      </c>
      <c r="V465" s="70">
        <f t="shared" ca="1" si="163"/>
        <v>0</v>
      </c>
      <c r="W465" s="70">
        <f t="shared" ca="1" si="164"/>
        <v>0</v>
      </c>
      <c r="X465" s="70">
        <f t="shared" ca="1" si="165"/>
        <v>0</v>
      </c>
      <c r="Y465" s="71">
        <f t="shared" ca="1" si="166"/>
        <v>0</v>
      </c>
      <c r="Z465" s="71">
        <f t="shared" ca="1" si="174"/>
        <v>0</v>
      </c>
      <c r="AA465" s="71">
        <f t="shared" ca="1" si="167"/>
        <v>0</v>
      </c>
      <c r="AB465" s="71">
        <f t="shared" ca="1" si="168"/>
        <v>0</v>
      </c>
      <c r="AC465" s="71">
        <f t="shared" ca="1" si="175"/>
        <v>0</v>
      </c>
      <c r="AD465" s="71">
        <f t="shared" ca="1" si="169"/>
        <v>0</v>
      </c>
      <c r="AE465" s="72">
        <f t="shared" si="170"/>
        <v>0</v>
      </c>
      <c r="AF465" s="73">
        <f>IF(A465&gt;入力設定!$B$6*12,0,IF(AND(ISNUMBER(C465),C465&gt;=0,C465&lt;=1),0,1))</f>
        <v>0</v>
      </c>
    </row>
    <row r="466" spans="1:32" ht="21" customHeight="1">
      <c r="A466" s="68">
        <f>461</f>
        <v>461</v>
      </c>
      <c r="B466" s="69">
        <f>EDATE(入力設定!$B$7,A466-1)</f>
        <v>60327</v>
      </c>
      <c r="C466" s="80">
        <f>INDEX(入力設定!$C$15:$C$24,INT((A466-1)/60)+1)</f>
        <v>0.05</v>
      </c>
      <c r="D466" s="70">
        <f t="shared" ca="1" si="171"/>
        <v>0</v>
      </c>
      <c r="E466" s="70">
        <f t="shared" ca="1" si="172"/>
        <v>0</v>
      </c>
      <c r="F466" s="70">
        <f ca="1">IF(D466+Z466&lt;0.000001,0,IF(D466&lt;0.000001,F465,IF(OR(AE466=1,AND(K465&gt;0,入力設定!$B$8="返済額軽減型",入力設定!$B$11="翌月")),IF(C466=0,D466/MAX(1,E466),D466*(C466/12)/(1-(1+C466/12)^(-MAX(1,E466)))),F465)))</f>
        <v>0</v>
      </c>
      <c r="G466" s="70">
        <f t="shared" ca="1" si="154"/>
        <v>0</v>
      </c>
      <c r="H466" s="70">
        <f t="shared" ca="1" si="155"/>
        <v>0</v>
      </c>
      <c r="I466" s="70">
        <f t="shared" ca="1" si="156"/>
        <v>0</v>
      </c>
      <c r="J466" s="70">
        <f>SUMIFS(入力設定!$G$5:$G$24,入力設定!$F$5:$F$24,A466)</f>
        <v>0</v>
      </c>
      <c r="K466" s="70">
        <f t="shared" ca="1" si="157"/>
        <v>0</v>
      </c>
      <c r="L466" s="70">
        <f ca="1">IF(K466&gt;0,入力設定!$B$9,0)</f>
        <v>0</v>
      </c>
      <c r="M466" s="70">
        <f t="shared" ca="1" si="158"/>
        <v>0</v>
      </c>
      <c r="N466" s="70">
        <f ca="1">IF(M466+AA466&lt;0.000001,0,IF(AND(K466&gt;0,入力設定!$B$8="期間短縮型",AA466&lt;0.000001,F466&gt;M466*C466/12),MAX(1,MIN(E466-1,IF(C466=0,ROUNDUP(M466/F466,0),ROUNDUP(-LN(1-M466*(C466/12)/F466)/LN(1+C466/12),0)))),MAX(1,E466-1)))</f>
        <v>0</v>
      </c>
      <c r="O466" s="70">
        <f t="shared" ca="1" si="159"/>
        <v>0</v>
      </c>
      <c r="P466" s="70">
        <f t="shared" ca="1" si="173"/>
        <v>0</v>
      </c>
      <c r="Q466" s="70">
        <f ca="1">IF(OR(A466&gt;入力設定!$B$6*12,P466+AC466&lt;0.000001),0,IF(P466&lt;0.000001,Q465,IF(AE466=1,IF(C466=0,P466/MAX(1,入力設定!$B$6*12-A466+1),P466*(C466/12)/(1-(1+C466/12)^(-MAX(1,入力設定!$B$6*12-A466+1)))),Q465)))</f>
        <v>0</v>
      </c>
      <c r="R466" s="70">
        <f ca="1">IF(P466+AC466&lt;0.000001,0,IF(A466=入力設定!$B$6*12,P466+AB466+AC466,MIN(Q466,P466+AB466+AC466)))</f>
        <v>0</v>
      </c>
      <c r="S466" s="70">
        <f t="shared" ca="1" si="160"/>
        <v>0</v>
      </c>
      <c r="T466" s="70">
        <f t="shared" ca="1" si="161"/>
        <v>0</v>
      </c>
      <c r="U466" s="70">
        <f t="shared" ca="1" si="162"/>
        <v>0</v>
      </c>
      <c r="V466" s="70">
        <f t="shared" ca="1" si="163"/>
        <v>0</v>
      </c>
      <c r="W466" s="70">
        <f t="shared" ca="1" si="164"/>
        <v>0</v>
      </c>
      <c r="X466" s="70">
        <f t="shared" ca="1" si="165"/>
        <v>0</v>
      </c>
      <c r="Y466" s="71">
        <f t="shared" ca="1" si="166"/>
        <v>0</v>
      </c>
      <c r="Z466" s="71">
        <f t="shared" ca="1" si="174"/>
        <v>0</v>
      </c>
      <c r="AA466" s="71">
        <f t="shared" ca="1" si="167"/>
        <v>0</v>
      </c>
      <c r="AB466" s="71">
        <f t="shared" ca="1" si="168"/>
        <v>0</v>
      </c>
      <c r="AC466" s="71">
        <f t="shared" ca="1" si="175"/>
        <v>0</v>
      </c>
      <c r="AD466" s="71">
        <f t="shared" ca="1" si="169"/>
        <v>0</v>
      </c>
      <c r="AE466" s="72">
        <f t="shared" si="170"/>
        <v>0</v>
      </c>
      <c r="AF466" s="73">
        <f>IF(A466&gt;入力設定!$B$6*12,0,IF(AND(ISNUMBER(C466),C466&gt;=0,C466&lt;=1),0,1))</f>
        <v>0</v>
      </c>
    </row>
    <row r="467" spans="1:32" ht="21" customHeight="1">
      <c r="A467" s="68">
        <f>462</f>
        <v>462</v>
      </c>
      <c r="B467" s="69">
        <f>EDATE(入力設定!$B$7,A467-1)</f>
        <v>60358</v>
      </c>
      <c r="C467" s="80">
        <f>INDEX(入力設定!$C$15:$C$24,INT((A467-1)/60)+1)</f>
        <v>0.05</v>
      </c>
      <c r="D467" s="70">
        <f t="shared" ca="1" si="171"/>
        <v>0</v>
      </c>
      <c r="E467" s="70">
        <f t="shared" ca="1" si="172"/>
        <v>0</v>
      </c>
      <c r="F467" s="70">
        <f ca="1">IF(D467+Z467&lt;0.000001,0,IF(D467&lt;0.000001,F466,IF(OR(AE467=1,AND(K466&gt;0,入力設定!$B$8="返済額軽減型",入力設定!$B$11="翌月")),IF(C467=0,D467/MAX(1,E467),D467*(C467/12)/(1-(1+C467/12)^(-MAX(1,E467)))),F466)))</f>
        <v>0</v>
      </c>
      <c r="G467" s="70">
        <f t="shared" ca="1" si="154"/>
        <v>0</v>
      </c>
      <c r="H467" s="70">
        <f t="shared" ca="1" si="155"/>
        <v>0</v>
      </c>
      <c r="I467" s="70">
        <f t="shared" ca="1" si="156"/>
        <v>0</v>
      </c>
      <c r="J467" s="70">
        <f>SUMIFS(入力設定!$G$5:$G$24,入力設定!$F$5:$F$24,A467)</f>
        <v>0</v>
      </c>
      <c r="K467" s="70">
        <f t="shared" ca="1" si="157"/>
        <v>0</v>
      </c>
      <c r="L467" s="70">
        <f ca="1">IF(K467&gt;0,入力設定!$B$9,0)</f>
        <v>0</v>
      </c>
      <c r="M467" s="70">
        <f t="shared" ca="1" si="158"/>
        <v>0</v>
      </c>
      <c r="N467" s="70">
        <f ca="1">IF(M467+AA467&lt;0.000001,0,IF(AND(K467&gt;0,入力設定!$B$8="期間短縮型",AA467&lt;0.000001,F467&gt;M467*C467/12),MAX(1,MIN(E467-1,IF(C467=0,ROUNDUP(M467/F467,0),ROUNDUP(-LN(1-M467*(C467/12)/F467)/LN(1+C467/12),0)))),MAX(1,E467-1)))</f>
        <v>0</v>
      </c>
      <c r="O467" s="70">
        <f t="shared" ca="1" si="159"/>
        <v>0</v>
      </c>
      <c r="P467" s="70">
        <f t="shared" ca="1" si="173"/>
        <v>0</v>
      </c>
      <c r="Q467" s="70">
        <f ca="1">IF(OR(A467&gt;入力設定!$B$6*12,P467+AC467&lt;0.000001),0,IF(P467&lt;0.000001,Q466,IF(AE467=1,IF(C467=0,P467/MAX(1,入力設定!$B$6*12-A467+1),P467*(C467/12)/(1-(1+C467/12)^(-MAX(1,入力設定!$B$6*12-A467+1)))),Q466)))</f>
        <v>0</v>
      </c>
      <c r="R467" s="70">
        <f ca="1">IF(P467+AC467&lt;0.000001,0,IF(A467=入力設定!$B$6*12,P467+AB467+AC467,MIN(Q467,P467+AB467+AC467)))</f>
        <v>0</v>
      </c>
      <c r="S467" s="70">
        <f t="shared" ca="1" si="160"/>
        <v>0</v>
      </c>
      <c r="T467" s="70">
        <f t="shared" ca="1" si="161"/>
        <v>0</v>
      </c>
      <c r="U467" s="70">
        <f t="shared" ca="1" si="162"/>
        <v>0</v>
      </c>
      <c r="V467" s="70">
        <f t="shared" ca="1" si="163"/>
        <v>0</v>
      </c>
      <c r="W467" s="70">
        <f t="shared" ca="1" si="164"/>
        <v>0</v>
      </c>
      <c r="X467" s="70">
        <f t="shared" ca="1" si="165"/>
        <v>0</v>
      </c>
      <c r="Y467" s="71">
        <f t="shared" ca="1" si="166"/>
        <v>0</v>
      </c>
      <c r="Z467" s="71">
        <f t="shared" ca="1" si="174"/>
        <v>0</v>
      </c>
      <c r="AA467" s="71">
        <f t="shared" ca="1" si="167"/>
        <v>0</v>
      </c>
      <c r="AB467" s="71">
        <f t="shared" ca="1" si="168"/>
        <v>0</v>
      </c>
      <c r="AC467" s="71">
        <f t="shared" ca="1" si="175"/>
        <v>0</v>
      </c>
      <c r="AD467" s="71">
        <f t="shared" ca="1" si="169"/>
        <v>0</v>
      </c>
      <c r="AE467" s="72">
        <f t="shared" si="170"/>
        <v>0</v>
      </c>
      <c r="AF467" s="73">
        <f>IF(A467&gt;入力設定!$B$6*12,0,IF(AND(ISNUMBER(C467),C467&gt;=0,C467&lt;=1),0,1))</f>
        <v>0</v>
      </c>
    </row>
    <row r="468" spans="1:32" ht="21" customHeight="1">
      <c r="A468" s="68">
        <f>463</f>
        <v>463</v>
      </c>
      <c r="B468" s="69">
        <f>EDATE(入力設定!$B$7,A468-1)</f>
        <v>60388</v>
      </c>
      <c r="C468" s="80">
        <f>INDEX(入力設定!$C$15:$C$24,INT((A468-1)/60)+1)</f>
        <v>0.05</v>
      </c>
      <c r="D468" s="70">
        <f t="shared" ca="1" si="171"/>
        <v>0</v>
      </c>
      <c r="E468" s="70">
        <f t="shared" ca="1" si="172"/>
        <v>0</v>
      </c>
      <c r="F468" s="70">
        <f ca="1">IF(D468+Z468&lt;0.000001,0,IF(D468&lt;0.000001,F467,IF(OR(AE468=1,AND(K467&gt;0,入力設定!$B$8="返済額軽減型",入力設定!$B$11="翌月")),IF(C468=0,D468/MAX(1,E468),D468*(C468/12)/(1-(1+C468/12)^(-MAX(1,E468)))),F467)))</f>
        <v>0</v>
      </c>
      <c r="G468" s="70">
        <f t="shared" ca="1" si="154"/>
        <v>0</v>
      </c>
      <c r="H468" s="70">
        <f t="shared" ca="1" si="155"/>
        <v>0</v>
      </c>
      <c r="I468" s="70">
        <f t="shared" ca="1" si="156"/>
        <v>0</v>
      </c>
      <c r="J468" s="70">
        <f>SUMIFS(入力設定!$G$5:$G$24,入力設定!$F$5:$F$24,A468)</f>
        <v>0</v>
      </c>
      <c r="K468" s="70">
        <f t="shared" ca="1" si="157"/>
        <v>0</v>
      </c>
      <c r="L468" s="70">
        <f ca="1">IF(K468&gt;0,入力設定!$B$9,0)</f>
        <v>0</v>
      </c>
      <c r="M468" s="70">
        <f t="shared" ca="1" si="158"/>
        <v>0</v>
      </c>
      <c r="N468" s="70">
        <f ca="1">IF(M468+AA468&lt;0.000001,0,IF(AND(K468&gt;0,入力設定!$B$8="期間短縮型",AA468&lt;0.000001,F468&gt;M468*C468/12),MAX(1,MIN(E468-1,IF(C468=0,ROUNDUP(M468/F468,0),ROUNDUP(-LN(1-M468*(C468/12)/F468)/LN(1+C468/12),0)))),MAX(1,E468-1)))</f>
        <v>0</v>
      </c>
      <c r="O468" s="70">
        <f t="shared" ca="1" si="159"/>
        <v>0</v>
      </c>
      <c r="P468" s="70">
        <f t="shared" ca="1" si="173"/>
        <v>0</v>
      </c>
      <c r="Q468" s="70">
        <f ca="1">IF(OR(A468&gt;入力設定!$B$6*12,P468+AC468&lt;0.000001),0,IF(P468&lt;0.000001,Q467,IF(AE468=1,IF(C468=0,P468/MAX(1,入力設定!$B$6*12-A468+1),P468*(C468/12)/(1-(1+C468/12)^(-MAX(1,入力設定!$B$6*12-A468+1)))),Q467)))</f>
        <v>0</v>
      </c>
      <c r="R468" s="70">
        <f ca="1">IF(P468+AC468&lt;0.000001,0,IF(A468=入力設定!$B$6*12,P468+AB468+AC468,MIN(Q468,P468+AB468+AC468)))</f>
        <v>0</v>
      </c>
      <c r="S468" s="70">
        <f t="shared" ca="1" si="160"/>
        <v>0</v>
      </c>
      <c r="T468" s="70">
        <f t="shared" ca="1" si="161"/>
        <v>0</v>
      </c>
      <c r="U468" s="70">
        <f t="shared" ca="1" si="162"/>
        <v>0</v>
      </c>
      <c r="V468" s="70">
        <f t="shared" ca="1" si="163"/>
        <v>0</v>
      </c>
      <c r="W468" s="70">
        <f t="shared" ca="1" si="164"/>
        <v>0</v>
      </c>
      <c r="X468" s="70">
        <f t="shared" ca="1" si="165"/>
        <v>0</v>
      </c>
      <c r="Y468" s="71">
        <f t="shared" ca="1" si="166"/>
        <v>0</v>
      </c>
      <c r="Z468" s="71">
        <f t="shared" ca="1" si="174"/>
        <v>0</v>
      </c>
      <c r="AA468" s="71">
        <f t="shared" ca="1" si="167"/>
        <v>0</v>
      </c>
      <c r="AB468" s="71">
        <f t="shared" ca="1" si="168"/>
        <v>0</v>
      </c>
      <c r="AC468" s="71">
        <f t="shared" ca="1" si="175"/>
        <v>0</v>
      </c>
      <c r="AD468" s="71">
        <f t="shared" ca="1" si="169"/>
        <v>0</v>
      </c>
      <c r="AE468" s="72">
        <f t="shared" si="170"/>
        <v>0</v>
      </c>
      <c r="AF468" s="73">
        <f>IF(A468&gt;入力設定!$B$6*12,0,IF(AND(ISNUMBER(C468),C468&gt;=0,C468&lt;=1),0,1))</f>
        <v>0</v>
      </c>
    </row>
    <row r="469" spans="1:32" ht="21" customHeight="1">
      <c r="A469" s="68">
        <f>464</f>
        <v>464</v>
      </c>
      <c r="B469" s="69">
        <f>EDATE(入力設定!$B$7,A469-1)</f>
        <v>60419</v>
      </c>
      <c r="C469" s="80">
        <f>INDEX(入力設定!$C$15:$C$24,INT((A469-1)/60)+1)</f>
        <v>0.05</v>
      </c>
      <c r="D469" s="70">
        <f t="shared" ca="1" si="171"/>
        <v>0</v>
      </c>
      <c r="E469" s="70">
        <f t="shared" ca="1" si="172"/>
        <v>0</v>
      </c>
      <c r="F469" s="70">
        <f ca="1">IF(D469+Z469&lt;0.000001,0,IF(D469&lt;0.000001,F468,IF(OR(AE469=1,AND(K468&gt;0,入力設定!$B$8="返済額軽減型",入力設定!$B$11="翌月")),IF(C469=0,D469/MAX(1,E469),D469*(C469/12)/(1-(1+C469/12)^(-MAX(1,E469)))),F468)))</f>
        <v>0</v>
      </c>
      <c r="G469" s="70">
        <f t="shared" ca="1" si="154"/>
        <v>0</v>
      </c>
      <c r="H469" s="70">
        <f t="shared" ca="1" si="155"/>
        <v>0</v>
      </c>
      <c r="I469" s="70">
        <f t="shared" ca="1" si="156"/>
        <v>0</v>
      </c>
      <c r="J469" s="70">
        <f>SUMIFS(入力設定!$G$5:$G$24,入力設定!$F$5:$F$24,A469)</f>
        <v>0</v>
      </c>
      <c r="K469" s="70">
        <f t="shared" ca="1" si="157"/>
        <v>0</v>
      </c>
      <c r="L469" s="70">
        <f ca="1">IF(K469&gt;0,入力設定!$B$9,0)</f>
        <v>0</v>
      </c>
      <c r="M469" s="70">
        <f t="shared" ca="1" si="158"/>
        <v>0</v>
      </c>
      <c r="N469" s="70">
        <f ca="1">IF(M469+AA469&lt;0.000001,0,IF(AND(K469&gt;0,入力設定!$B$8="期間短縮型",AA469&lt;0.000001,F469&gt;M469*C469/12),MAX(1,MIN(E469-1,IF(C469=0,ROUNDUP(M469/F469,0),ROUNDUP(-LN(1-M469*(C469/12)/F469)/LN(1+C469/12),0)))),MAX(1,E469-1)))</f>
        <v>0</v>
      </c>
      <c r="O469" s="70">
        <f t="shared" ca="1" si="159"/>
        <v>0</v>
      </c>
      <c r="P469" s="70">
        <f t="shared" ca="1" si="173"/>
        <v>0</v>
      </c>
      <c r="Q469" s="70">
        <f ca="1">IF(OR(A469&gt;入力設定!$B$6*12,P469+AC469&lt;0.000001),0,IF(P469&lt;0.000001,Q468,IF(AE469=1,IF(C469=0,P469/MAX(1,入力設定!$B$6*12-A469+1),P469*(C469/12)/(1-(1+C469/12)^(-MAX(1,入力設定!$B$6*12-A469+1)))),Q468)))</f>
        <v>0</v>
      </c>
      <c r="R469" s="70">
        <f ca="1">IF(P469+AC469&lt;0.000001,0,IF(A469=入力設定!$B$6*12,P469+AB469+AC469,MIN(Q469,P469+AB469+AC469)))</f>
        <v>0</v>
      </c>
      <c r="S469" s="70">
        <f t="shared" ca="1" si="160"/>
        <v>0</v>
      </c>
      <c r="T469" s="70">
        <f t="shared" ca="1" si="161"/>
        <v>0</v>
      </c>
      <c r="U469" s="70">
        <f t="shared" ca="1" si="162"/>
        <v>0</v>
      </c>
      <c r="V469" s="70">
        <f t="shared" ca="1" si="163"/>
        <v>0</v>
      </c>
      <c r="W469" s="70">
        <f t="shared" ca="1" si="164"/>
        <v>0</v>
      </c>
      <c r="X469" s="70">
        <f t="shared" ca="1" si="165"/>
        <v>0</v>
      </c>
      <c r="Y469" s="71">
        <f t="shared" ca="1" si="166"/>
        <v>0</v>
      </c>
      <c r="Z469" s="71">
        <f t="shared" ca="1" si="174"/>
        <v>0</v>
      </c>
      <c r="AA469" s="71">
        <f t="shared" ca="1" si="167"/>
        <v>0</v>
      </c>
      <c r="AB469" s="71">
        <f t="shared" ca="1" si="168"/>
        <v>0</v>
      </c>
      <c r="AC469" s="71">
        <f t="shared" ca="1" si="175"/>
        <v>0</v>
      </c>
      <c r="AD469" s="71">
        <f t="shared" ca="1" si="169"/>
        <v>0</v>
      </c>
      <c r="AE469" s="72">
        <f t="shared" si="170"/>
        <v>0</v>
      </c>
      <c r="AF469" s="73">
        <f>IF(A469&gt;入力設定!$B$6*12,0,IF(AND(ISNUMBER(C469),C469&gt;=0,C469&lt;=1),0,1))</f>
        <v>0</v>
      </c>
    </row>
    <row r="470" spans="1:32" ht="21" customHeight="1">
      <c r="A470" s="68">
        <f>465</f>
        <v>465</v>
      </c>
      <c r="B470" s="69">
        <f>EDATE(入力設定!$B$7,A470-1)</f>
        <v>60449</v>
      </c>
      <c r="C470" s="80">
        <f>INDEX(入力設定!$C$15:$C$24,INT((A470-1)/60)+1)</f>
        <v>0.05</v>
      </c>
      <c r="D470" s="70">
        <f t="shared" ca="1" si="171"/>
        <v>0</v>
      </c>
      <c r="E470" s="70">
        <f t="shared" ca="1" si="172"/>
        <v>0</v>
      </c>
      <c r="F470" s="70">
        <f ca="1">IF(D470+Z470&lt;0.000001,0,IF(D470&lt;0.000001,F469,IF(OR(AE470=1,AND(K469&gt;0,入力設定!$B$8="返済額軽減型",入力設定!$B$11="翌月")),IF(C470=0,D470/MAX(1,E470),D470*(C470/12)/(1-(1+C470/12)^(-MAX(1,E470)))),F469)))</f>
        <v>0</v>
      </c>
      <c r="G470" s="70">
        <f t="shared" ca="1" si="154"/>
        <v>0</v>
      </c>
      <c r="H470" s="70">
        <f t="shared" ca="1" si="155"/>
        <v>0</v>
      </c>
      <c r="I470" s="70">
        <f t="shared" ca="1" si="156"/>
        <v>0</v>
      </c>
      <c r="J470" s="70">
        <f>SUMIFS(入力設定!$G$5:$G$24,入力設定!$F$5:$F$24,A470)</f>
        <v>0</v>
      </c>
      <c r="K470" s="70">
        <f t="shared" ca="1" si="157"/>
        <v>0</v>
      </c>
      <c r="L470" s="70">
        <f ca="1">IF(K470&gt;0,入力設定!$B$9,0)</f>
        <v>0</v>
      </c>
      <c r="M470" s="70">
        <f t="shared" ca="1" si="158"/>
        <v>0</v>
      </c>
      <c r="N470" s="70">
        <f ca="1">IF(M470+AA470&lt;0.000001,0,IF(AND(K470&gt;0,入力設定!$B$8="期間短縮型",AA470&lt;0.000001,F470&gt;M470*C470/12),MAX(1,MIN(E470-1,IF(C470=0,ROUNDUP(M470/F470,0),ROUNDUP(-LN(1-M470*(C470/12)/F470)/LN(1+C470/12),0)))),MAX(1,E470-1)))</f>
        <v>0</v>
      </c>
      <c r="O470" s="70">
        <f t="shared" ca="1" si="159"/>
        <v>0</v>
      </c>
      <c r="P470" s="70">
        <f t="shared" ca="1" si="173"/>
        <v>0</v>
      </c>
      <c r="Q470" s="70">
        <f ca="1">IF(OR(A470&gt;入力設定!$B$6*12,P470+AC470&lt;0.000001),0,IF(P470&lt;0.000001,Q469,IF(AE470=1,IF(C470=0,P470/MAX(1,入力設定!$B$6*12-A470+1),P470*(C470/12)/(1-(1+C470/12)^(-MAX(1,入力設定!$B$6*12-A470+1)))),Q469)))</f>
        <v>0</v>
      </c>
      <c r="R470" s="70">
        <f ca="1">IF(P470+AC470&lt;0.000001,0,IF(A470=入力設定!$B$6*12,P470+AB470+AC470,MIN(Q470,P470+AB470+AC470)))</f>
        <v>0</v>
      </c>
      <c r="S470" s="70">
        <f t="shared" ca="1" si="160"/>
        <v>0</v>
      </c>
      <c r="T470" s="70">
        <f t="shared" ca="1" si="161"/>
        <v>0</v>
      </c>
      <c r="U470" s="70">
        <f t="shared" ca="1" si="162"/>
        <v>0</v>
      </c>
      <c r="V470" s="70">
        <f t="shared" ca="1" si="163"/>
        <v>0</v>
      </c>
      <c r="W470" s="70">
        <f t="shared" ca="1" si="164"/>
        <v>0</v>
      </c>
      <c r="X470" s="70">
        <f t="shared" ca="1" si="165"/>
        <v>0</v>
      </c>
      <c r="Y470" s="71">
        <f t="shared" ca="1" si="166"/>
        <v>0</v>
      </c>
      <c r="Z470" s="71">
        <f t="shared" ca="1" si="174"/>
        <v>0</v>
      </c>
      <c r="AA470" s="71">
        <f t="shared" ca="1" si="167"/>
        <v>0</v>
      </c>
      <c r="AB470" s="71">
        <f t="shared" ca="1" si="168"/>
        <v>0</v>
      </c>
      <c r="AC470" s="71">
        <f t="shared" ca="1" si="175"/>
        <v>0</v>
      </c>
      <c r="AD470" s="71">
        <f t="shared" ca="1" si="169"/>
        <v>0</v>
      </c>
      <c r="AE470" s="72">
        <f t="shared" si="170"/>
        <v>0</v>
      </c>
      <c r="AF470" s="73">
        <f>IF(A470&gt;入力設定!$B$6*12,0,IF(AND(ISNUMBER(C470),C470&gt;=0,C470&lt;=1),0,1))</f>
        <v>0</v>
      </c>
    </row>
    <row r="471" spans="1:32" ht="21" customHeight="1">
      <c r="A471" s="68">
        <f>466</f>
        <v>466</v>
      </c>
      <c r="B471" s="69">
        <f>EDATE(入力設定!$B$7,A471-1)</f>
        <v>60480</v>
      </c>
      <c r="C471" s="80">
        <f>INDEX(入力設定!$C$15:$C$24,INT((A471-1)/60)+1)</f>
        <v>0.05</v>
      </c>
      <c r="D471" s="70">
        <f t="shared" ca="1" si="171"/>
        <v>0</v>
      </c>
      <c r="E471" s="70">
        <f t="shared" ca="1" si="172"/>
        <v>0</v>
      </c>
      <c r="F471" s="70">
        <f ca="1">IF(D471+Z471&lt;0.000001,0,IF(D471&lt;0.000001,F470,IF(OR(AE471=1,AND(K470&gt;0,入力設定!$B$8="返済額軽減型",入力設定!$B$11="翌月")),IF(C471=0,D471/MAX(1,E471),D471*(C471/12)/(1-(1+C471/12)^(-MAX(1,E471)))),F470)))</f>
        <v>0</v>
      </c>
      <c r="G471" s="70">
        <f t="shared" ca="1" si="154"/>
        <v>0</v>
      </c>
      <c r="H471" s="70">
        <f t="shared" ca="1" si="155"/>
        <v>0</v>
      </c>
      <c r="I471" s="70">
        <f t="shared" ca="1" si="156"/>
        <v>0</v>
      </c>
      <c r="J471" s="70">
        <f>SUMIFS(入力設定!$G$5:$G$24,入力設定!$F$5:$F$24,A471)</f>
        <v>0</v>
      </c>
      <c r="K471" s="70">
        <f t="shared" ca="1" si="157"/>
        <v>0</v>
      </c>
      <c r="L471" s="70">
        <f ca="1">IF(K471&gt;0,入力設定!$B$9,0)</f>
        <v>0</v>
      </c>
      <c r="M471" s="70">
        <f t="shared" ca="1" si="158"/>
        <v>0</v>
      </c>
      <c r="N471" s="70">
        <f ca="1">IF(M471+AA471&lt;0.000001,0,IF(AND(K471&gt;0,入力設定!$B$8="期間短縮型",AA471&lt;0.000001,F471&gt;M471*C471/12),MAX(1,MIN(E471-1,IF(C471=0,ROUNDUP(M471/F471,0),ROUNDUP(-LN(1-M471*(C471/12)/F471)/LN(1+C471/12),0)))),MAX(1,E471-1)))</f>
        <v>0</v>
      </c>
      <c r="O471" s="70">
        <f t="shared" ca="1" si="159"/>
        <v>0</v>
      </c>
      <c r="P471" s="70">
        <f t="shared" ca="1" si="173"/>
        <v>0</v>
      </c>
      <c r="Q471" s="70">
        <f ca="1">IF(OR(A471&gt;入力設定!$B$6*12,P471+AC471&lt;0.000001),0,IF(P471&lt;0.000001,Q470,IF(AE471=1,IF(C471=0,P471/MAX(1,入力設定!$B$6*12-A471+1),P471*(C471/12)/(1-(1+C471/12)^(-MAX(1,入力設定!$B$6*12-A471+1)))),Q470)))</f>
        <v>0</v>
      </c>
      <c r="R471" s="70">
        <f ca="1">IF(P471+AC471&lt;0.000001,0,IF(A471=入力設定!$B$6*12,P471+AB471+AC471,MIN(Q471,P471+AB471+AC471)))</f>
        <v>0</v>
      </c>
      <c r="S471" s="70">
        <f t="shared" ca="1" si="160"/>
        <v>0</v>
      </c>
      <c r="T471" s="70">
        <f t="shared" ca="1" si="161"/>
        <v>0</v>
      </c>
      <c r="U471" s="70">
        <f t="shared" ca="1" si="162"/>
        <v>0</v>
      </c>
      <c r="V471" s="70">
        <f t="shared" ca="1" si="163"/>
        <v>0</v>
      </c>
      <c r="W471" s="70">
        <f t="shared" ca="1" si="164"/>
        <v>0</v>
      </c>
      <c r="X471" s="70">
        <f t="shared" ca="1" si="165"/>
        <v>0</v>
      </c>
      <c r="Y471" s="71">
        <f t="shared" ca="1" si="166"/>
        <v>0</v>
      </c>
      <c r="Z471" s="71">
        <f t="shared" ca="1" si="174"/>
        <v>0</v>
      </c>
      <c r="AA471" s="71">
        <f t="shared" ca="1" si="167"/>
        <v>0</v>
      </c>
      <c r="AB471" s="71">
        <f t="shared" ca="1" si="168"/>
        <v>0</v>
      </c>
      <c r="AC471" s="71">
        <f t="shared" ca="1" si="175"/>
        <v>0</v>
      </c>
      <c r="AD471" s="71">
        <f t="shared" ca="1" si="169"/>
        <v>0</v>
      </c>
      <c r="AE471" s="72">
        <f t="shared" si="170"/>
        <v>0</v>
      </c>
      <c r="AF471" s="73">
        <f>IF(A471&gt;入力設定!$B$6*12,0,IF(AND(ISNUMBER(C471),C471&gt;=0,C471&lt;=1),0,1))</f>
        <v>0</v>
      </c>
    </row>
    <row r="472" spans="1:32" ht="21" customHeight="1">
      <c r="A472" s="68">
        <f>467</f>
        <v>467</v>
      </c>
      <c r="B472" s="69">
        <f>EDATE(入力設定!$B$7,A472-1)</f>
        <v>60511</v>
      </c>
      <c r="C472" s="80">
        <f>INDEX(入力設定!$C$15:$C$24,INT((A472-1)/60)+1)</f>
        <v>0.05</v>
      </c>
      <c r="D472" s="70">
        <f t="shared" ca="1" si="171"/>
        <v>0</v>
      </c>
      <c r="E472" s="70">
        <f t="shared" ca="1" si="172"/>
        <v>0</v>
      </c>
      <c r="F472" s="70">
        <f ca="1">IF(D472+Z472&lt;0.000001,0,IF(D472&lt;0.000001,F471,IF(OR(AE472=1,AND(K471&gt;0,入力設定!$B$8="返済額軽減型",入力設定!$B$11="翌月")),IF(C472=0,D472/MAX(1,E472),D472*(C472/12)/(1-(1+C472/12)^(-MAX(1,E472)))),F471)))</f>
        <v>0</v>
      </c>
      <c r="G472" s="70">
        <f t="shared" ca="1" si="154"/>
        <v>0</v>
      </c>
      <c r="H472" s="70">
        <f t="shared" ca="1" si="155"/>
        <v>0</v>
      </c>
      <c r="I472" s="70">
        <f t="shared" ca="1" si="156"/>
        <v>0</v>
      </c>
      <c r="J472" s="70">
        <f>SUMIFS(入力設定!$G$5:$G$24,入力設定!$F$5:$F$24,A472)</f>
        <v>0</v>
      </c>
      <c r="K472" s="70">
        <f t="shared" ca="1" si="157"/>
        <v>0</v>
      </c>
      <c r="L472" s="70">
        <f ca="1">IF(K472&gt;0,入力設定!$B$9,0)</f>
        <v>0</v>
      </c>
      <c r="M472" s="70">
        <f t="shared" ca="1" si="158"/>
        <v>0</v>
      </c>
      <c r="N472" s="70">
        <f ca="1">IF(M472+AA472&lt;0.000001,0,IF(AND(K472&gt;0,入力設定!$B$8="期間短縮型",AA472&lt;0.000001,F472&gt;M472*C472/12),MAX(1,MIN(E472-1,IF(C472=0,ROUNDUP(M472/F472,0),ROUNDUP(-LN(1-M472*(C472/12)/F472)/LN(1+C472/12),0)))),MAX(1,E472-1)))</f>
        <v>0</v>
      </c>
      <c r="O472" s="70">
        <f t="shared" ca="1" si="159"/>
        <v>0</v>
      </c>
      <c r="P472" s="70">
        <f t="shared" ca="1" si="173"/>
        <v>0</v>
      </c>
      <c r="Q472" s="70">
        <f ca="1">IF(OR(A472&gt;入力設定!$B$6*12,P472+AC472&lt;0.000001),0,IF(P472&lt;0.000001,Q471,IF(AE472=1,IF(C472=0,P472/MAX(1,入力設定!$B$6*12-A472+1),P472*(C472/12)/(1-(1+C472/12)^(-MAX(1,入力設定!$B$6*12-A472+1)))),Q471)))</f>
        <v>0</v>
      </c>
      <c r="R472" s="70">
        <f ca="1">IF(P472+AC472&lt;0.000001,0,IF(A472=入力設定!$B$6*12,P472+AB472+AC472,MIN(Q472,P472+AB472+AC472)))</f>
        <v>0</v>
      </c>
      <c r="S472" s="70">
        <f t="shared" ca="1" si="160"/>
        <v>0</v>
      </c>
      <c r="T472" s="70">
        <f t="shared" ca="1" si="161"/>
        <v>0</v>
      </c>
      <c r="U472" s="70">
        <f t="shared" ca="1" si="162"/>
        <v>0</v>
      </c>
      <c r="V472" s="70">
        <f t="shared" ca="1" si="163"/>
        <v>0</v>
      </c>
      <c r="W472" s="70">
        <f t="shared" ca="1" si="164"/>
        <v>0</v>
      </c>
      <c r="X472" s="70">
        <f t="shared" ca="1" si="165"/>
        <v>0</v>
      </c>
      <c r="Y472" s="71">
        <f t="shared" ca="1" si="166"/>
        <v>0</v>
      </c>
      <c r="Z472" s="71">
        <f t="shared" ca="1" si="174"/>
        <v>0</v>
      </c>
      <c r="AA472" s="71">
        <f t="shared" ca="1" si="167"/>
        <v>0</v>
      </c>
      <c r="AB472" s="71">
        <f t="shared" ca="1" si="168"/>
        <v>0</v>
      </c>
      <c r="AC472" s="71">
        <f t="shared" ca="1" si="175"/>
        <v>0</v>
      </c>
      <c r="AD472" s="71">
        <f t="shared" ca="1" si="169"/>
        <v>0</v>
      </c>
      <c r="AE472" s="72">
        <f t="shared" si="170"/>
        <v>0</v>
      </c>
      <c r="AF472" s="73">
        <f>IF(A472&gt;入力設定!$B$6*12,0,IF(AND(ISNUMBER(C472),C472&gt;=0,C472&lt;=1),0,1))</f>
        <v>0</v>
      </c>
    </row>
    <row r="473" spans="1:32" ht="21" customHeight="1">
      <c r="A473" s="68">
        <f>468</f>
        <v>468</v>
      </c>
      <c r="B473" s="69">
        <f>EDATE(入力設定!$B$7,A473-1)</f>
        <v>60541</v>
      </c>
      <c r="C473" s="80">
        <f>INDEX(入力設定!$C$15:$C$24,INT((A473-1)/60)+1)</f>
        <v>0.05</v>
      </c>
      <c r="D473" s="70">
        <f t="shared" ca="1" si="171"/>
        <v>0</v>
      </c>
      <c r="E473" s="70">
        <f t="shared" ca="1" si="172"/>
        <v>0</v>
      </c>
      <c r="F473" s="70">
        <f ca="1">IF(D473+Z473&lt;0.000001,0,IF(D473&lt;0.000001,F472,IF(OR(AE473=1,AND(K472&gt;0,入力設定!$B$8="返済額軽減型",入力設定!$B$11="翌月")),IF(C473=0,D473/MAX(1,E473),D473*(C473/12)/(1-(1+C473/12)^(-MAX(1,E473)))),F472)))</f>
        <v>0</v>
      </c>
      <c r="G473" s="70">
        <f t="shared" ca="1" si="154"/>
        <v>0</v>
      </c>
      <c r="H473" s="70">
        <f t="shared" ca="1" si="155"/>
        <v>0</v>
      </c>
      <c r="I473" s="70">
        <f t="shared" ca="1" si="156"/>
        <v>0</v>
      </c>
      <c r="J473" s="70">
        <f>SUMIFS(入力設定!$G$5:$G$24,入力設定!$F$5:$F$24,A473)</f>
        <v>0</v>
      </c>
      <c r="K473" s="70">
        <f t="shared" ca="1" si="157"/>
        <v>0</v>
      </c>
      <c r="L473" s="70">
        <f ca="1">IF(K473&gt;0,入力設定!$B$9,0)</f>
        <v>0</v>
      </c>
      <c r="M473" s="70">
        <f t="shared" ca="1" si="158"/>
        <v>0</v>
      </c>
      <c r="N473" s="70">
        <f ca="1">IF(M473+AA473&lt;0.000001,0,IF(AND(K473&gt;0,入力設定!$B$8="期間短縮型",AA473&lt;0.000001,F473&gt;M473*C473/12),MAX(1,MIN(E473-1,IF(C473=0,ROUNDUP(M473/F473,0),ROUNDUP(-LN(1-M473*(C473/12)/F473)/LN(1+C473/12),0)))),MAX(1,E473-1)))</f>
        <v>0</v>
      </c>
      <c r="O473" s="70">
        <f t="shared" ca="1" si="159"/>
        <v>0</v>
      </c>
      <c r="P473" s="70">
        <f t="shared" ca="1" si="173"/>
        <v>0</v>
      </c>
      <c r="Q473" s="70">
        <f ca="1">IF(OR(A473&gt;入力設定!$B$6*12,P473+AC473&lt;0.000001),0,IF(P473&lt;0.000001,Q472,IF(AE473=1,IF(C473=0,P473/MAX(1,入力設定!$B$6*12-A473+1),P473*(C473/12)/(1-(1+C473/12)^(-MAX(1,入力設定!$B$6*12-A473+1)))),Q472)))</f>
        <v>0</v>
      </c>
      <c r="R473" s="70">
        <f ca="1">IF(P473+AC473&lt;0.000001,0,IF(A473=入力設定!$B$6*12,P473+AB473+AC473,MIN(Q473,P473+AB473+AC473)))</f>
        <v>0</v>
      </c>
      <c r="S473" s="70">
        <f t="shared" ca="1" si="160"/>
        <v>0</v>
      </c>
      <c r="T473" s="70">
        <f t="shared" ca="1" si="161"/>
        <v>0</v>
      </c>
      <c r="U473" s="70">
        <f t="shared" ca="1" si="162"/>
        <v>0</v>
      </c>
      <c r="V473" s="70">
        <f t="shared" ca="1" si="163"/>
        <v>0</v>
      </c>
      <c r="W473" s="70">
        <f t="shared" ca="1" si="164"/>
        <v>0</v>
      </c>
      <c r="X473" s="70">
        <f t="shared" ca="1" si="165"/>
        <v>0</v>
      </c>
      <c r="Y473" s="71">
        <f t="shared" ca="1" si="166"/>
        <v>0</v>
      </c>
      <c r="Z473" s="71">
        <f t="shared" ca="1" si="174"/>
        <v>0</v>
      </c>
      <c r="AA473" s="71">
        <f t="shared" ca="1" si="167"/>
        <v>0</v>
      </c>
      <c r="AB473" s="71">
        <f t="shared" ca="1" si="168"/>
        <v>0</v>
      </c>
      <c r="AC473" s="71">
        <f t="shared" ca="1" si="175"/>
        <v>0</v>
      </c>
      <c r="AD473" s="71">
        <f t="shared" ca="1" si="169"/>
        <v>0</v>
      </c>
      <c r="AE473" s="72">
        <f t="shared" si="170"/>
        <v>0</v>
      </c>
      <c r="AF473" s="73">
        <f>IF(A473&gt;入力設定!$B$6*12,0,IF(AND(ISNUMBER(C473),C473&gt;=0,C473&lt;=1),0,1))</f>
        <v>0</v>
      </c>
    </row>
    <row r="474" spans="1:32" ht="21" customHeight="1">
      <c r="A474" s="68">
        <f>469</f>
        <v>469</v>
      </c>
      <c r="B474" s="69">
        <f>EDATE(入力設定!$B$7,A474-1)</f>
        <v>60572</v>
      </c>
      <c r="C474" s="80">
        <f>INDEX(入力設定!$C$15:$C$24,INT((A474-1)/60)+1)</f>
        <v>0.05</v>
      </c>
      <c r="D474" s="70">
        <f t="shared" ca="1" si="171"/>
        <v>0</v>
      </c>
      <c r="E474" s="70">
        <f t="shared" ca="1" si="172"/>
        <v>0</v>
      </c>
      <c r="F474" s="70">
        <f ca="1">IF(D474+Z474&lt;0.000001,0,IF(D474&lt;0.000001,F473,IF(OR(AE474=1,AND(K473&gt;0,入力設定!$B$8="返済額軽減型",入力設定!$B$11="翌月")),IF(C474=0,D474/MAX(1,E474),D474*(C474/12)/(1-(1+C474/12)^(-MAX(1,E474)))),F473)))</f>
        <v>0</v>
      </c>
      <c r="G474" s="70">
        <f t="shared" ca="1" si="154"/>
        <v>0</v>
      </c>
      <c r="H474" s="70">
        <f t="shared" ca="1" si="155"/>
        <v>0</v>
      </c>
      <c r="I474" s="70">
        <f t="shared" ca="1" si="156"/>
        <v>0</v>
      </c>
      <c r="J474" s="70">
        <f>SUMIFS(入力設定!$G$5:$G$24,入力設定!$F$5:$F$24,A474)</f>
        <v>0</v>
      </c>
      <c r="K474" s="70">
        <f t="shared" ca="1" si="157"/>
        <v>0</v>
      </c>
      <c r="L474" s="70">
        <f ca="1">IF(K474&gt;0,入力設定!$B$9,0)</f>
        <v>0</v>
      </c>
      <c r="M474" s="70">
        <f t="shared" ca="1" si="158"/>
        <v>0</v>
      </c>
      <c r="N474" s="70">
        <f ca="1">IF(M474+AA474&lt;0.000001,0,IF(AND(K474&gt;0,入力設定!$B$8="期間短縮型",AA474&lt;0.000001,F474&gt;M474*C474/12),MAX(1,MIN(E474-1,IF(C474=0,ROUNDUP(M474/F474,0),ROUNDUP(-LN(1-M474*(C474/12)/F474)/LN(1+C474/12),0)))),MAX(1,E474-1)))</f>
        <v>0</v>
      </c>
      <c r="O474" s="70">
        <f t="shared" ca="1" si="159"/>
        <v>0</v>
      </c>
      <c r="P474" s="70">
        <f t="shared" ca="1" si="173"/>
        <v>0</v>
      </c>
      <c r="Q474" s="70">
        <f ca="1">IF(OR(A474&gt;入力設定!$B$6*12,P474+AC474&lt;0.000001),0,IF(P474&lt;0.000001,Q473,IF(AE474=1,IF(C474=0,P474/MAX(1,入力設定!$B$6*12-A474+1),P474*(C474/12)/(1-(1+C474/12)^(-MAX(1,入力設定!$B$6*12-A474+1)))),Q473)))</f>
        <v>0</v>
      </c>
      <c r="R474" s="70">
        <f ca="1">IF(P474+AC474&lt;0.000001,0,IF(A474=入力設定!$B$6*12,P474+AB474+AC474,MIN(Q474,P474+AB474+AC474)))</f>
        <v>0</v>
      </c>
      <c r="S474" s="70">
        <f t="shared" ca="1" si="160"/>
        <v>0</v>
      </c>
      <c r="T474" s="70">
        <f t="shared" ca="1" si="161"/>
        <v>0</v>
      </c>
      <c r="U474" s="70">
        <f t="shared" ca="1" si="162"/>
        <v>0</v>
      </c>
      <c r="V474" s="70">
        <f t="shared" ca="1" si="163"/>
        <v>0</v>
      </c>
      <c r="W474" s="70">
        <f t="shared" ca="1" si="164"/>
        <v>0</v>
      </c>
      <c r="X474" s="70">
        <f t="shared" ca="1" si="165"/>
        <v>0</v>
      </c>
      <c r="Y474" s="71">
        <f t="shared" ca="1" si="166"/>
        <v>0</v>
      </c>
      <c r="Z474" s="71">
        <f t="shared" ca="1" si="174"/>
        <v>0</v>
      </c>
      <c r="AA474" s="71">
        <f t="shared" ca="1" si="167"/>
        <v>0</v>
      </c>
      <c r="AB474" s="71">
        <f t="shared" ca="1" si="168"/>
        <v>0</v>
      </c>
      <c r="AC474" s="71">
        <f t="shared" ca="1" si="175"/>
        <v>0</v>
      </c>
      <c r="AD474" s="71">
        <f t="shared" ca="1" si="169"/>
        <v>0</v>
      </c>
      <c r="AE474" s="72">
        <f t="shared" si="170"/>
        <v>0</v>
      </c>
      <c r="AF474" s="73">
        <f>IF(A474&gt;入力設定!$B$6*12,0,IF(AND(ISNUMBER(C474),C474&gt;=0,C474&lt;=1),0,1))</f>
        <v>0</v>
      </c>
    </row>
    <row r="475" spans="1:32" ht="21" customHeight="1">
      <c r="A475" s="68">
        <f>470</f>
        <v>470</v>
      </c>
      <c r="B475" s="69">
        <f>EDATE(入力設定!$B$7,A475-1)</f>
        <v>60602</v>
      </c>
      <c r="C475" s="80">
        <f>INDEX(入力設定!$C$15:$C$24,INT((A475-1)/60)+1)</f>
        <v>0.05</v>
      </c>
      <c r="D475" s="70">
        <f t="shared" ca="1" si="171"/>
        <v>0</v>
      </c>
      <c r="E475" s="70">
        <f t="shared" ca="1" si="172"/>
        <v>0</v>
      </c>
      <c r="F475" s="70">
        <f ca="1">IF(D475+Z475&lt;0.000001,0,IF(D475&lt;0.000001,F474,IF(OR(AE475=1,AND(K474&gt;0,入力設定!$B$8="返済額軽減型",入力設定!$B$11="翌月")),IF(C475=0,D475/MAX(1,E475),D475*(C475/12)/(1-(1+C475/12)^(-MAX(1,E475)))),F474)))</f>
        <v>0</v>
      </c>
      <c r="G475" s="70">
        <f t="shared" ca="1" si="154"/>
        <v>0</v>
      </c>
      <c r="H475" s="70">
        <f t="shared" ca="1" si="155"/>
        <v>0</v>
      </c>
      <c r="I475" s="70">
        <f t="shared" ca="1" si="156"/>
        <v>0</v>
      </c>
      <c r="J475" s="70">
        <f>SUMIFS(入力設定!$G$5:$G$24,入力設定!$F$5:$F$24,A475)</f>
        <v>0</v>
      </c>
      <c r="K475" s="70">
        <f t="shared" ca="1" si="157"/>
        <v>0</v>
      </c>
      <c r="L475" s="70">
        <f ca="1">IF(K475&gt;0,入力設定!$B$9,0)</f>
        <v>0</v>
      </c>
      <c r="M475" s="70">
        <f t="shared" ca="1" si="158"/>
        <v>0</v>
      </c>
      <c r="N475" s="70">
        <f ca="1">IF(M475+AA475&lt;0.000001,0,IF(AND(K475&gt;0,入力設定!$B$8="期間短縮型",AA475&lt;0.000001,F475&gt;M475*C475/12),MAX(1,MIN(E475-1,IF(C475=0,ROUNDUP(M475/F475,0),ROUNDUP(-LN(1-M475*(C475/12)/F475)/LN(1+C475/12),0)))),MAX(1,E475-1)))</f>
        <v>0</v>
      </c>
      <c r="O475" s="70">
        <f t="shared" ca="1" si="159"/>
        <v>0</v>
      </c>
      <c r="P475" s="70">
        <f t="shared" ca="1" si="173"/>
        <v>0</v>
      </c>
      <c r="Q475" s="70">
        <f ca="1">IF(OR(A475&gt;入力設定!$B$6*12,P475+AC475&lt;0.000001),0,IF(P475&lt;0.000001,Q474,IF(AE475=1,IF(C475=0,P475/MAX(1,入力設定!$B$6*12-A475+1),P475*(C475/12)/(1-(1+C475/12)^(-MAX(1,入力設定!$B$6*12-A475+1)))),Q474)))</f>
        <v>0</v>
      </c>
      <c r="R475" s="70">
        <f ca="1">IF(P475+AC475&lt;0.000001,0,IF(A475=入力設定!$B$6*12,P475+AB475+AC475,MIN(Q475,P475+AB475+AC475)))</f>
        <v>0</v>
      </c>
      <c r="S475" s="70">
        <f t="shared" ca="1" si="160"/>
        <v>0</v>
      </c>
      <c r="T475" s="70">
        <f t="shared" ca="1" si="161"/>
        <v>0</v>
      </c>
      <c r="U475" s="70">
        <f t="shared" ca="1" si="162"/>
        <v>0</v>
      </c>
      <c r="V475" s="70">
        <f t="shared" ca="1" si="163"/>
        <v>0</v>
      </c>
      <c r="W475" s="70">
        <f t="shared" ca="1" si="164"/>
        <v>0</v>
      </c>
      <c r="X475" s="70">
        <f t="shared" ca="1" si="165"/>
        <v>0</v>
      </c>
      <c r="Y475" s="71">
        <f t="shared" ca="1" si="166"/>
        <v>0</v>
      </c>
      <c r="Z475" s="71">
        <f t="shared" ca="1" si="174"/>
        <v>0</v>
      </c>
      <c r="AA475" s="71">
        <f t="shared" ca="1" si="167"/>
        <v>0</v>
      </c>
      <c r="AB475" s="71">
        <f t="shared" ca="1" si="168"/>
        <v>0</v>
      </c>
      <c r="AC475" s="71">
        <f t="shared" ca="1" si="175"/>
        <v>0</v>
      </c>
      <c r="AD475" s="71">
        <f t="shared" ca="1" si="169"/>
        <v>0</v>
      </c>
      <c r="AE475" s="72">
        <f t="shared" si="170"/>
        <v>0</v>
      </c>
      <c r="AF475" s="73">
        <f>IF(A475&gt;入力設定!$B$6*12,0,IF(AND(ISNUMBER(C475),C475&gt;=0,C475&lt;=1),0,1))</f>
        <v>0</v>
      </c>
    </row>
    <row r="476" spans="1:32" ht="21" customHeight="1">
      <c r="A476" s="68">
        <f>471</f>
        <v>471</v>
      </c>
      <c r="B476" s="69">
        <f>EDATE(入力設定!$B$7,A476-1)</f>
        <v>60633</v>
      </c>
      <c r="C476" s="80">
        <f>INDEX(入力設定!$C$15:$C$24,INT((A476-1)/60)+1)</f>
        <v>0.05</v>
      </c>
      <c r="D476" s="70">
        <f t="shared" ca="1" si="171"/>
        <v>0</v>
      </c>
      <c r="E476" s="70">
        <f t="shared" ca="1" si="172"/>
        <v>0</v>
      </c>
      <c r="F476" s="70">
        <f ca="1">IF(D476+Z476&lt;0.000001,0,IF(D476&lt;0.000001,F475,IF(OR(AE476=1,AND(K475&gt;0,入力設定!$B$8="返済額軽減型",入力設定!$B$11="翌月")),IF(C476=0,D476/MAX(1,E476),D476*(C476/12)/(1-(1+C476/12)^(-MAX(1,E476)))),F475)))</f>
        <v>0</v>
      </c>
      <c r="G476" s="70">
        <f t="shared" ca="1" si="154"/>
        <v>0</v>
      </c>
      <c r="H476" s="70">
        <f t="shared" ca="1" si="155"/>
        <v>0</v>
      </c>
      <c r="I476" s="70">
        <f t="shared" ca="1" si="156"/>
        <v>0</v>
      </c>
      <c r="J476" s="70">
        <f>SUMIFS(入力設定!$G$5:$G$24,入力設定!$F$5:$F$24,A476)</f>
        <v>0</v>
      </c>
      <c r="K476" s="70">
        <f t="shared" ca="1" si="157"/>
        <v>0</v>
      </c>
      <c r="L476" s="70">
        <f ca="1">IF(K476&gt;0,入力設定!$B$9,0)</f>
        <v>0</v>
      </c>
      <c r="M476" s="70">
        <f t="shared" ca="1" si="158"/>
        <v>0</v>
      </c>
      <c r="N476" s="70">
        <f ca="1">IF(M476+AA476&lt;0.000001,0,IF(AND(K476&gt;0,入力設定!$B$8="期間短縮型",AA476&lt;0.000001,F476&gt;M476*C476/12),MAX(1,MIN(E476-1,IF(C476=0,ROUNDUP(M476/F476,0),ROUNDUP(-LN(1-M476*(C476/12)/F476)/LN(1+C476/12),0)))),MAX(1,E476-1)))</f>
        <v>0</v>
      </c>
      <c r="O476" s="70">
        <f t="shared" ca="1" si="159"/>
        <v>0</v>
      </c>
      <c r="P476" s="70">
        <f t="shared" ca="1" si="173"/>
        <v>0</v>
      </c>
      <c r="Q476" s="70">
        <f ca="1">IF(OR(A476&gt;入力設定!$B$6*12,P476+AC476&lt;0.000001),0,IF(P476&lt;0.000001,Q475,IF(AE476=1,IF(C476=0,P476/MAX(1,入力設定!$B$6*12-A476+1),P476*(C476/12)/(1-(1+C476/12)^(-MAX(1,入力設定!$B$6*12-A476+1)))),Q475)))</f>
        <v>0</v>
      </c>
      <c r="R476" s="70">
        <f ca="1">IF(P476+AC476&lt;0.000001,0,IF(A476=入力設定!$B$6*12,P476+AB476+AC476,MIN(Q476,P476+AB476+AC476)))</f>
        <v>0</v>
      </c>
      <c r="S476" s="70">
        <f t="shared" ca="1" si="160"/>
        <v>0</v>
      </c>
      <c r="T476" s="70">
        <f t="shared" ca="1" si="161"/>
        <v>0</v>
      </c>
      <c r="U476" s="70">
        <f t="shared" ca="1" si="162"/>
        <v>0</v>
      </c>
      <c r="V476" s="70">
        <f t="shared" ca="1" si="163"/>
        <v>0</v>
      </c>
      <c r="W476" s="70">
        <f t="shared" ca="1" si="164"/>
        <v>0</v>
      </c>
      <c r="X476" s="70">
        <f t="shared" ca="1" si="165"/>
        <v>0</v>
      </c>
      <c r="Y476" s="71">
        <f t="shared" ca="1" si="166"/>
        <v>0</v>
      </c>
      <c r="Z476" s="71">
        <f t="shared" ca="1" si="174"/>
        <v>0</v>
      </c>
      <c r="AA476" s="71">
        <f t="shared" ca="1" si="167"/>
        <v>0</v>
      </c>
      <c r="AB476" s="71">
        <f t="shared" ca="1" si="168"/>
        <v>0</v>
      </c>
      <c r="AC476" s="71">
        <f t="shared" ca="1" si="175"/>
        <v>0</v>
      </c>
      <c r="AD476" s="71">
        <f t="shared" ca="1" si="169"/>
        <v>0</v>
      </c>
      <c r="AE476" s="72">
        <f t="shared" si="170"/>
        <v>0</v>
      </c>
      <c r="AF476" s="73">
        <f>IF(A476&gt;入力設定!$B$6*12,0,IF(AND(ISNUMBER(C476),C476&gt;=0,C476&lt;=1),0,1))</f>
        <v>0</v>
      </c>
    </row>
    <row r="477" spans="1:32" ht="21" customHeight="1">
      <c r="A477" s="68">
        <f>472</f>
        <v>472</v>
      </c>
      <c r="B477" s="69">
        <f>EDATE(入力設定!$B$7,A477-1)</f>
        <v>60664</v>
      </c>
      <c r="C477" s="80">
        <f>INDEX(入力設定!$C$15:$C$24,INT((A477-1)/60)+1)</f>
        <v>0.05</v>
      </c>
      <c r="D477" s="70">
        <f t="shared" ca="1" si="171"/>
        <v>0</v>
      </c>
      <c r="E477" s="70">
        <f t="shared" ca="1" si="172"/>
        <v>0</v>
      </c>
      <c r="F477" s="70">
        <f ca="1">IF(D477+Z477&lt;0.000001,0,IF(D477&lt;0.000001,F476,IF(OR(AE477=1,AND(K476&gt;0,入力設定!$B$8="返済額軽減型",入力設定!$B$11="翌月")),IF(C477=0,D477/MAX(1,E477),D477*(C477/12)/(1-(1+C477/12)^(-MAX(1,E477)))),F476)))</f>
        <v>0</v>
      </c>
      <c r="G477" s="70">
        <f t="shared" ca="1" si="154"/>
        <v>0</v>
      </c>
      <c r="H477" s="70">
        <f t="shared" ca="1" si="155"/>
        <v>0</v>
      </c>
      <c r="I477" s="70">
        <f t="shared" ca="1" si="156"/>
        <v>0</v>
      </c>
      <c r="J477" s="70">
        <f>SUMIFS(入力設定!$G$5:$G$24,入力設定!$F$5:$F$24,A477)</f>
        <v>0</v>
      </c>
      <c r="K477" s="70">
        <f t="shared" ca="1" si="157"/>
        <v>0</v>
      </c>
      <c r="L477" s="70">
        <f ca="1">IF(K477&gt;0,入力設定!$B$9,0)</f>
        <v>0</v>
      </c>
      <c r="M477" s="70">
        <f t="shared" ca="1" si="158"/>
        <v>0</v>
      </c>
      <c r="N477" s="70">
        <f ca="1">IF(M477+AA477&lt;0.000001,0,IF(AND(K477&gt;0,入力設定!$B$8="期間短縮型",AA477&lt;0.000001,F477&gt;M477*C477/12),MAX(1,MIN(E477-1,IF(C477=0,ROUNDUP(M477/F477,0),ROUNDUP(-LN(1-M477*(C477/12)/F477)/LN(1+C477/12),0)))),MAX(1,E477-1)))</f>
        <v>0</v>
      </c>
      <c r="O477" s="70">
        <f t="shared" ca="1" si="159"/>
        <v>0</v>
      </c>
      <c r="P477" s="70">
        <f t="shared" ca="1" si="173"/>
        <v>0</v>
      </c>
      <c r="Q477" s="70">
        <f ca="1">IF(OR(A477&gt;入力設定!$B$6*12,P477+AC477&lt;0.000001),0,IF(P477&lt;0.000001,Q476,IF(AE477=1,IF(C477=0,P477/MAX(1,入力設定!$B$6*12-A477+1),P477*(C477/12)/(1-(1+C477/12)^(-MAX(1,入力設定!$B$6*12-A477+1)))),Q476)))</f>
        <v>0</v>
      </c>
      <c r="R477" s="70">
        <f ca="1">IF(P477+AC477&lt;0.000001,0,IF(A477=入力設定!$B$6*12,P477+AB477+AC477,MIN(Q477,P477+AB477+AC477)))</f>
        <v>0</v>
      </c>
      <c r="S477" s="70">
        <f t="shared" ca="1" si="160"/>
        <v>0</v>
      </c>
      <c r="T477" s="70">
        <f t="shared" ca="1" si="161"/>
        <v>0</v>
      </c>
      <c r="U477" s="70">
        <f t="shared" ca="1" si="162"/>
        <v>0</v>
      </c>
      <c r="V477" s="70">
        <f t="shared" ca="1" si="163"/>
        <v>0</v>
      </c>
      <c r="W477" s="70">
        <f t="shared" ca="1" si="164"/>
        <v>0</v>
      </c>
      <c r="X477" s="70">
        <f t="shared" ca="1" si="165"/>
        <v>0</v>
      </c>
      <c r="Y477" s="71">
        <f t="shared" ca="1" si="166"/>
        <v>0</v>
      </c>
      <c r="Z477" s="71">
        <f t="shared" ca="1" si="174"/>
        <v>0</v>
      </c>
      <c r="AA477" s="71">
        <f t="shared" ca="1" si="167"/>
        <v>0</v>
      </c>
      <c r="AB477" s="71">
        <f t="shared" ca="1" si="168"/>
        <v>0</v>
      </c>
      <c r="AC477" s="71">
        <f t="shared" ca="1" si="175"/>
        <v>0</v>
      </c>
      <c r="AD477" s="71">
        <f t="shared" ca="1" si="169"/>
        <v>0</v>
      </c>
      <c r="AE477" s="72">
        <f t="shared" si="170"/>
        <v>0</v>
      </c>
      <c r="AF477" s="73">
        <f>IF(A477&gt;入力設定!$B$6*12,0,IF(AND(ISNUMBER(C477),C477&gt;=0,C477&lt;=1),0,1))</f>
        <v>0</v>
      </c>
    </row>
    <row r="478" spans="1:32" ht="21" customHeight="1">
      <c r="A478" s="68">
        <f>473</f>
        <v>473</v>
      </c>
      <c r="B478" s="69">
        <f>EDATE(入力設定!$B$7,A478-1)</f>
        <v>60692</v>
      </c>
      <c r="C478" s="80">
        <f>INDEX(入力設定!$C$15:$C$24,INT((A478-1)/60)+1)</f>
        <v>0.05</v>
      </c>
      <c r="D478" s="70">
        <f t="shared" ca="1" si="171"/>
        <v>0</v>
      </c>
      <c r="E478" s="70">
        <f t="shared" ca="1" si="172"/>
        <v>0</v>
      </c>
      <c r="F478" s="70">
        <f ca="1">IF(D478+Z478&lt;0.000001,0,IF(D478&lt;0.000001,F477,IF(OR(AE478=1,AND(K477&gt;0,入力設定!$B$8="返済額軽減型",入力設定!$B$11="翌月")),IF(C478=0,D478/MAX(1,E478),D478*(C478/12)/(1-(1+C478/12)^(-MAX(1,E478)))),F477)))</f>
        <v>0</v>
      </c>
      <c r="G478" s="70">
        <f t="shared" ca="1" si="154"/>
        <v>0</v>
      </c>
      <c r="H478" s="70">
        <f t="shared" ca="1" si="155"/>
        <v>0</v>
      </c>
      <c r="I478" s="70">
        <f t="shared" ca="1" si="156"/>
        <v>0</v>
      </c>
      <c r="J478" s="70">
        <f>SUMIFS(入力設定!$G$5:$G$24,入力設定!$F$5:$F$24,A478)</f>
        <v>0</v>
      </c>
      <c r="K478" s="70">
        <f t="shared" ca="1" si="157"/>
        <v>0</v>
      </c>
      <c r="L478" s="70">
        <f ca="1">IF(K478&gt;0,入力設定!$B$9,0)</f>
        <v>0</v>
      </c>
      <c r="M478" s="70">
        <f t="shared" ca="1" si="158"/>
        <v>0</v>
      </c>
      <c r="N478" s="70">
        <f ca="1">IF(M478+AA478&lt;0.000001,0,IF(AND(K478&gt;0,入力設定!$B$8="期間短縮型",AA478&lt;0.000001,F478&gt;M478*C478/12),MAX(1,MIN(E478-1,IF(C478=0,ROUNDUP(M478/F478,0),ROUNDUP(-LN(1-M478*(C478/12)/F478)/LN(1+C478/12),0)))),MAX(1,E478-1)))</f>
        <v>0</v>
      </c>
      <c r="O478" s="70">
        <f t="shared" ca="1" si="159"/>
        <v>0</v>
      </c>
      <c r="P478" s="70">
        <f t="shared" ca="1" si="173"/>
        <v>0</v>
      </c>
      <c r="Q478" s="70">
        <f ca="1">IF(OR(A478&gt;入力設定!$B$6*12,P478+AC478&lt;0.000001),0,IF(P478&lt;0.000001,Q477,IF(AE478=1,IF(C478=0,P478/MAX(1,入力設定!$B$6*12-A478+1),P478*(C478/12)/(1-(1+C478/12)^(-MAX(1,入力設定!$B$6*12-A478+1)))),Q477)))</f>
        <v>0</v>
      </c>
      <c r="R478" s="70">
        <f ca="1">IF(P478+AC478&lt;0.000001,0,IF(A478=入力設定!$B$6*12,P478+AB478+AC478,MIN(Q478,P478+AB478+AC478)))</f>
        <v>0</v>
      </c>
      <c r="S478" s="70">
        <f t="shared" ca="1" si="160"/>
        <v>0</v>
      </c>
      <c r="T478" s="70">
        <f t="shared" ca="1" si="161"/>
        <v>0</v>
      </c>
      <c r="U478" s="70">
        <f t="shared" ca="1" si="162"/>
        <v>0</v>
      </c>
      <c r="V478" s="70">
        <f t="shared" ca="1" si="163"/>
        <v>0</v>
      </c>
      <c r="W478" s="70">
        <f t="shared" ca="1" si="164"/>
        <v>0</v>
      </c>
      <c r="X478" s="70">
        <f t="shared" ca="1" si="165"/>
        <v>0</v>
      </c>
      <c r="Y478" s="71">
        <f t="shared" ca="1" si="166"/>
        <v>0</v>
      </c>
      <c r="Z478" s="71">
        <f t="shared" ca="1" si="174"/>
        <v>0</v>
      </c>
      <c r="AA478" s="71">
        <f t="shared" ca="1" si="167"/>
        <v>0</v>
      </c>
      <c r="AB478" s="71">
        <f t="shared" ca="1" si="168"/>
        <v>0</v>
      </c>
      <c r="AC478" s="71">
        <f t="shared" ca="1" si="175"/>
        <v>0</v>
      </c>
      <c r="AD478" s="71">
        <f t="shared" ca="1" si="169"/>
        <v>0</v>
      </c>
      <c r="AE478" s="72">
        <f t="shared" si="170"/>
        <v>0</v>
      </c>
      <c r="AF478" s="73">
        <f>IF(A478&gt;入力設定!$B$6*12,0,IF(AND(ISNUMBER(C478),C478&gt;=0,C478&lt;=1),0,1))</f>
        <v>0</v>
      </c>
    </row>
    <row r="479" spans="1:32" ht="21" customHeight="1">
      <c r="A479" s="68">
        <f>474</f>
        <v>474</v>
      </c>
      <c r="B479" s="69">
        <f>EDATE(入力設定!$B$7,A479-1)</f>
        <v>60723</v>
      </c>
      <c r="C479" s="80">
        <f>INDEX(入力設定!$C$15:$C$24,INT((A479-1)/60)+1)</f>
        <v>0.05</v>
      </c>
      <c r="D479" s="70">
        <f t="shared" ca="1" si="171"/>
        <v>0</v>
      </c>
      <c r="E479" s="70">
        <f t="shared" ca="1" si="172"/>
        <v>0</v>
      </c>
      <c r="F479" s="70">
        <f ca="1">IF(D479+Z479&lt;0.000001,0,IF(D479&lt;0.000001,F478,IF(OR(AE479=1,AND(K478&gt;0,入力設定!$B$8="返済額軽減型",入力設定!$B$11="翌月")),IF(C479=0,D479/MAX(1,E479),D479*(C479/12)/(1-(1+C479/12)^(-MAX(1,E479)))),F478)))</f>
        <v>0</v>
      </c>
      <c r="G479" s="70">
        <f t="shared" ca="1" si="154"/>
        <v>0</v>
      </c>
      <c r="H479" s="70">
        <f t="shared" ca="1" si="155"/>
        <v>0</v>
      </c>
      <c r="I479" s="70">
        <f t="shared" ca="1" si="156"/>
        <v>0</v>
      </c>
      <c r="J479" s="70">
        <f>SUMIFS(入力設定!$G$5:$G$24,入力設定!$F$5:$F$24,A479)</f>
        <v>0</v>
      </c>
      <c r="K479" s="70">
        <f t="shared" ca="1" si="157"/>
        <v>0</v>
      </c>
      <c r="L479" s="70">
        <f ca="1">IF(K479&gt;0,入力設定!$B$9,0)</f>
        <v>0</v>
      </c>
      <c r="M479" s="70">
        <f t="shared" ca="1" si="158"/>
        <v>0</v>
      </c>
      <c r="N479" s="70">
        <f ca="1">IF(M479+AA479&lt;0.000001,0,IF(AND(K479&gt;0,入力設定!$B$8="期間短縮型",AA479&lt;0.000001,F479&gt;M479*C479/12),MAX(1,MIN(E479-1,IF(C479=0,ROUNDUP(M479/F479,0),ROUNDUP(-LN(1-M479*(C479/12)/F479)/LN(1+C479/12),0)))),MAX(1,E479-1)))</f>
        <v>0</v>
      </c>
      <c r="O479" s="70">
        <f t="shared" ca="1" si="159"/>
        <v>0</v>
      </c>
      <c r="P479" s="70">
        <f t="shared" ca="1" si="173"/>
        <v>0</v>
      </c>
      <c r="Q479" s="70">
        <f ca="1">IF(OR(A479&gt;入力設定!$B$6*12,P479+AC479&lt;0.000001),0,IF(P479&lt;0.000001,Q478,IF(AE479=1,IF(C479=0,P479/MAX(1,入力設定!$B$6*12-A479+1),P479*(C479/12)/(1-(1+C479/12)^(-MAX(1,入力設定!$B$6*12-A479+1)))),Q478)))</f>
        <v>0</v>
      </c>
      <c r="R479" s="70">
        <f ca="1">IF(P479+AC479&lt;0.000001,0,IF(A479=入力設定!$B$6*12,P479+AB479+AC479,MIN(Q479,P479+AB479+AC479)))</f>
        <v>0</v>
      </c>
      <c r="S479" s="70">
        <f t="shared" ca="1" si="160"/>
        <v>0</v>
      </c>
      <c r="T479" s="70">
        <f t="shared" ca="1" si="161"/>
        <v>0</v>
      </c>
      <c r="U479" s="70">
        <f t="shared" ca="1" si="162"/>
        <v>0</v>
      </c>
      <c r="V479" s="70">
        <f t="shared" ca="1" si="163"/>
        <v>0</v>
      </c>
      <c r="W479" s="70">
        <f t="shared" ca="1" si="164"/>
        <v>0</v>
      </c>
      <c r="X479" s="70">
        <f t="shared" ca="1" si="165"/>
        <v>0</v>
      </c>
      <c r="Y479" s="71">
        <f t="shared" ca="1" si="166"/>
        <v>0</v>
      </c>
      <c r="Z479" s="71">
        <f t="shared" ca="1" si="174"/>
        <v>0</v>
      </c>
      <c r="AA479" s="71">
        <f t="shared" ca="1" si="167"/>
        <v>0</v>
      </c>
      <c r="AB479" s="71">
        <f t="shared" ca="1" si="168"/>
        <v>0</v>
      </c>
      <c r="AC479" s="71">
        <f t="shared" ca="1" si="175"/>
        <v>0</v>
      </c>
      <c r="AD479" s="71">
        <f t="shared" ca="1" si="169"/>
        <v>0</v>
      </c>
      <c r="AE479" s="72">
        <f t="shared" si="170"/>
        <v>0</v>
      </c>
      <c r="AF479" s="73">
        <f>IF(A479&gt;入力設定!$B$6*12,0,IF(AND(ISNUMBER(C479),C479&gt;=0,C479&lt;=1),0,1))</f>
        <v>0</v>
      </c>
    </row>
    <row r="480" spans="1:32" ht="21" customHeight="1">
      <c r="A480" s="68">
        <f>475</f>
        <v>475</v>
      </c>
      <c r="B480" s="69">
        <f>EDATE(入力設定!$B$7,A480-1)</f>
        <v>60753</v>
      </c>
      <c r="C480" s="80">
        <f>INDEX(入力設定!$C$15:$C$24,INT((A480-1)/60)+1)</f>
        <v>0.05</v>
      </c>
      <c r="D480" s="70">
        <f t="shared" ca="1" si="171"/>
        <v>0</v>
      </c>
      <c r="E480" s="70">
        <f t="shared" ca="1" si="172"/>
        <v>0</v>
      </c>
      <c r="F480" s="70">
        <f ca="1">IF(D480+Z480&lt;0.000001,0,IF(D480&lt;0.000001,F479,IF(OR(AE480=1,AND(K479&gt;0,入力設定!$B$8="返済額軽減型",入力設定!$B$11="翌月")),IF(C480=0,D480/MAX(1,E480),D480*(C480/12)/(1-(1+C480/12)^(-MAX(1,E480)))),F479)))</f>
        <v>0</v>
      </c>
      <c r="G480" s="70">
        <f t="shared" ca="1" si="154"/>
        <v>0</v>
      </c>
      <c r="H480" s="70">
        <f t="shared" ca="1" si="155"/>
        <v>0</v>
      </c>
      <c r="I480" s="70">
        <f t="shared" ca="1" si="156"/>
        <v>0</v>
      </c>
      <c r="J480" s="70">
        <f>SUMIFS(入力設定!$G$5:$G$24,入力設定!$F$5:$F$24,A480)</f>
        <v>0</v>
      </c>
      <c r="K480" s="70">
        <f t="shared" ca="1" si="157"/>
        <v>0</v>
      </c>
      <c r="L480" s="70">
        <f ca="1">IF(K480&gt;0,入力設定!$B$9,0)</f>
        <v>0</v>
      </c>
      <c r="M480" s="70">
        <f t="shared" ca="1" si="158"/>
        <v>0</v>
      </c>
      <c r="N480" s="70">
        <f ca="1">IF(M480+AA480&lt;0.000001,0,IF(AND(K480&gt;0,入力設定!$B$8="期間短縮型",AA480&lt;0.000001,F480&gt;M480*C480/12),MAX(1,MIN(E480-1,IF(C480=0,ROUNDUP(M480/F480,0),ROUNDUP(-LN(1-M480*(C480/12)/F480)/LN(1+C480/12),0)))),MAX(1,E480-1)))</f>
        <v>0</v>
      </c>
      <c r="O480" s="70">
        <f t="shared" ca="1" si="159"/>
        <v>0</v>
      </c>
      <c r="P480" s="70">
        <f t="shared" ca="1" si="173"/>
        <v>0</v>
      </c>
      <c r="Q480" s="70">
        <f ca="1">IF(OR(A480&gt;入力設定!$B$6*12,P480+AC480&lt;0.000001),0,IF(P480&lt;0.000001,Q479,IF(AE480=1,IF(C480=0,P480/MAX(1,入力設定!$B$6*12-A480+1),P480*(C480/12)/(1-(1+C480/12)^(-MAX(1,入力設定!$B$6*12-A480+1)))),Q479)))</f>
        <v>0</v>
      </c>
      <c r="R480" s="70">
        <f ca="1">IF(P480+AC480&lt;0.000001,0,IF(A480=入力設定!$B$6*12,P480+AB480+AC480,MIN(Q480,P480+AB480+AC480)))</f>
        <v>0</v>
      </c>
      <c r="S480" s="70">
        <f t="shared" ca="1" si="160"/>
        <v>0</v>
      </c>
      <c r="T480" s="70">
        <f t="shared" ca="1" si="161"/>
        <v>0</v>
      </c>
      <c r="U480" s="70">
        <f t="shared" ca="1" si="162"/>
        <v>0</v>
      </c>
      <c r="V480" s="70">
        <f t="shared" ca="1" si="163"/>
        <v>0</v>
      </c>
      <c r="W480" s="70">
        <f t="shared" ca="1" si="164"/>
        <v>0</v>
      </c>
      <c r="X480" s="70">
        <f t="shared" ca="1" si="165"/>
        <v>0</v>
      </c>
      <c r="Y480" s="71">
        <f t="shared" ca="1" si="166"/>
        <v>0</v>
      </c>
      <c r="Z480" s="71">
        <f t="shared" ca="1" si="174"/>
        <v>0</v>
      </c>
      <c r="AA480" s="71">
        <f t="shared" ca="1" si="167"/>
        <v>0</v>
      </c>
      <c r="AB480" s="71">
        <f t="shared" ca="1" si="168"/>
        <v>0</v>
      </c>
      <c r="AC480" s="71">
        <f t="shared" ca="1" si="175"/>
        <v>0</v>
      </c>
      <c r="AD480" s="71">
        <f t="shared" ca="1" si="169"/>
        <v>0</v>
      </c>
      <c r="AE480" s="72">
        <f t="shared" si="170"/>
        <v>0</v>
      </c>
      <c r="AF480" s="73">
        <f>IF(A480&gt;入力設定!$B$6*12,0,IF(AND(ISNUMBER(C480),C480&gt;=0,C480&lt;=1),0,1))</f>
        <v>0</v>
      </c>
    </row>
    <row r="481" spans="1:32" ht="21" customHeight="1">
      <c r="A481" s="68">
        <f>476</f>
        <v>476</v>
      </c>
      <c r="B481" s="69">
        <f>EDATE(入力設定!$B$7,A481-1)</f>
        <v>60784</v>
      </c>
      <c r="C481" s="80">
        <f>INDEX(入力設定!$C$15:$C$24,INT((A481-1)/60)+1)</f>
        <v>0.05</v>
      </c>
      <c r="D481" s="70">
        <f t="shared" ca="1" si="171"/>
        <v>0</v>
      </c>
      <c r="E481" s="70">
        <f t="shared" ca="1" si="172"/>
        <v>0</v>
      </c>
      <c r="F481" s="70">
        <f ca="1">IF(D481+Z481&lt;0.000001,0,IF(D481&lt;0.000001,F480,IF(OR(AE481=1,AND(K480&gt;0,入力設定!$B$8="返済額軽減型",入力設定!$B$11="翌月")),IF(C481=0,D481/MAX(1,E481),D481*(C481/12)/(1-(1+C481/12)^(-MAX(1,E481)))),F480)))</f>
        <v>0</v>
      </c>
      <c r="G481" s="70">
        <f t="shared" ca="1" si="154"/>
        <v>0</v>
      </c>
      <c r="H481" s="70">
        <f t="shared" ca="1" si="155"/>
        <v>0</v>
      </c>
      <c r="I481" s="70">
        <f t="shared" ca="1" si="156"/>
        <v>0</v>
      </c>
      <c r="J481" s="70">
        <f>SUMIFS(入力設定!$G$5:$G$24,入力設定!$F$5:$F$24,A481)</f>
        <v>0</v>
      </c>
      <c r="K481" s="70">
        <f t="shared" ca="1" si="157"/>
        <v>0</v>
      </c>
      <c r="L481" s="70">
        <f ca="1">IF(K481&gt;0,入力設定!$B$9,0)</f>
        <v>0</v>
      </c>
      <c r="M481" s="70">
        <f t="shared" ca="1" si="158"/>
        <v>0</v>
      </c>
      <c r="N481" s="70">
        <f ca="1">IF(M481+AA481&lt;0.000001,0,IF(AND(K481&gt;0,入力設定!$B$8="期間短縮型",AA481&lt;0.000001,F481&gt;M481*C481/12),MAX(1,MIN(E481-1,IF(C481=0,ROUNDUP(M481/F481,0),ROUNDUP(-LN(1-M481*(C481/12)/F481)/LN(1+C481/12),0)))),MAX(1,E481-1)))</f>
        <v>0</v>
      </c>
      <c r="O481" s="70">
        <f t="shared" ca="1" si="159"/>
        <v>0</v>
      </c>
      <c r="P481" s="70">
        <f t="shared" ca="1" si="173"/>
        <v>0</v>
      </c>
      <c r="Q481" s="70">
        <f ca="1">IF(OR(A481&gt;入力設定!$B$6*12,P481+AC481&lt;0.000001),0,IF(P481&lt;0.000001,Q480,IF(AE481=1,IF(C481=0,P481/MAX(1,入力設定!$B$6*12-A481+1),P481*(C481/12)/(1-(1+C481/12)^(-MAX(1,入力設定!$B$6*12-A481+1)))),Q480)))</f>
        <v>0</v>
      </c>
      <c r="R481" s="70">
        <f ca="1">IF(P481+AC481&lt;0.000001,0,IF(A481=入力設定!$B$6*12,P481+AB481+AC481,MIN(Q481,P481+AB481+AC481)))</f>
        <v>0</v>
      </c>
      <c r="S481" s="70">
        <f t="shared" ca="1" si="160"/>
        <v>0</v>
      </c>
      <c r="T481" s="70">
        <f t="shared" ca="1" si="161"/>
        <v>0</v>
      </c>
      <c r="U481" s="70">
        <f t="shared" ca="1" si="162"/>
        <v>0</v>
      </c>
      <c r="V481" s="70">
        <f t="shared" ca="1" si="163"/>
        <v>0</v>
      </c>
      <c r="W481" s="70">
        <f t="shared" ca="1" si="164"/>
        <v>0</v>
      </c>
      <c r="X481" s="70">
        <f t="shared" ca="1" si="165"/>
        <v>0</v>
      </c>
      <c r="Y481" s="71">
        <f t="shared" ca="1" si="166"/>
        <v>0</v>
      </c>
      <c r="Z481" s="71">
        <f t="shared" ca="1" si="174"/>
        <v>0</v>
      </c>
      <c r="AA481" s="71">
        <f t="shared" ca="1" si="167"/>
        <v>0</v>
      </c>
      <c r="AB481" s="71">
        <f t="shared" ca="1" si="168"/>
        <v>0</v>
      </c>
      <c r="AC481" s="71">
        <f t="shared" ca="1" si="175"/>
        <v>0</v>
      </c>
      <c r="AD481" s="71">
        <f t="shared" ca="1" si="169"/>
        <v>0</v>
      </c>
      <c r="AE481" s="72">
        <f t="shared" si="170"/>
        <v>0</v>
      </c>
      <c r="AF481" s="73">
        <f>IF(A481&gt;入力設定!$B$6*12,0,IF(AND(ISNUMBER(C481),C481&gt;=0,C481&lt;=1),0,1))</f>
        <v>0</v>
      </c>
    </row>
    <row r="482" spans="1:32" ht="21" customHeight="1">
      <c r="A482" s="68">
        <f>477</f>
        <v>477</v>
      </c>
      <c r="B482" s="69">
        <f>EDATE(入力設定!$B$7,A482-1)</f>
        <v>60814</v>
      </c>
      <c r="C482" s="80">
        <f>INDEX(入力設定!$C$15:$C$24,INT((A482-1)/60)+1)</f>
        <v>0.05</v>
      </c>
      <c r="D482" s="70">
        <f t="shared" ca="1" si="171"/>
        <v>0</v>
      </c>
      <c r="E482" s="70">
        <f t="shared" ca="1" si="172"/>
        <v>0</v>
      </c>
      <c r="F482" s="70">
        <f ca="1">IF(D482+Z482&lt;0.000001,0,IF(D482&lt;0.000001,F481,IF(OR(AE482=1,AND(K481&gt;0,入力設定!$B$8="返済額軽減型",入力設定!$B$11="翌月")),IF(C482=0,D482/MAX(1,E482),D482*(C482/12)/(1-(1+C482/12)^(-MAX(1,E482)))),F481)))</f>
        <v>0</v>
      </c>
      <c r="G482" s="70">
        <f t="shared" ca="1" si="154"/>
        <v>0</v>
      </c>
      <c r="H482" s="70">
        <f t="shared" ca="1" si="155"/>
        <v>0</v>
      </c>
      <c r="I482" s="70">
        <f t="shared" ca="1" si="156"/>
        <v>0</v>
      </c>
      <c r="J482" s="70">
        <f>SUMIFS(入力設定!$G$5:$G$24,入力設定!$F$5:$F$24,A482)</f>
        <v>0</v>
      </c>
      <c r="K482" s="70">
        <f t="shared" ca="1" si="157"/>
        <v>0</v>
      </c>
      <c r="L482" s="70">
        <f ca="1">IF(K482&gt;0,入力設定!$B$9,0)</f>
        <v>0</v>
      </c>
      <c r="M482" s="70">
        <f t="shared" ca="1" si="158"/>
        <v>0</v>
      </c>
      <c r="N482" s="70">
        <f ca="1">IF(M482+AA482&lt;0.000001,0,IF(AND(K482&gt;0,入力設定!$B$8="期間短縮型",AA482&lt;0.000001,F482&gt;M482*C482/12),MAX(1,MIN(E482-1,IF(C482=0,ROUNDUP(M482/F482,0),ROUNDUP(-LN(1-M482*(C482/12)/F482)/LN(1+C482/12),0)))),MAX(1,E482-1)))</f>
        <v>0</v>
      </c>
      <c r="O482" s="70">
        <f t="shared" ca="1" si="159"/>
        <v>0</v>
      </c>
      <c r="P482" s="70">
        <f t="shared" ca="1" si="173"/>
        <v>0</v>
      </c>
      <c r="Q482" s="70">
        <f ca="1">IF(OR(A482&gt;入力設定!$B$6*12,P482+AC482&lt;0.000001),0,IF(P482&lt;0.000001,Q481,IF(AE482=1,IF(C482=0,P482/MAX(1,入力設定!$B$6*12-A482+1),P482*(C482/12)/(1-(1+C482/12)^(-MAX(1,入力設定!$B$6*12-A482+1)))),Q481)))</f>
        <v>0</v>
      </c>
      <c r="R482" s="70">
        <f ca="1">IF(P482+AC482&lt;0.000001,0,IF(A482=入力設定!$B$6*12,P482+AB482+AC482,MIN(Q482,P482+AB482+AC482)))</f>
        <v>0</v>
      </c>
      <c r="S482" s="70">
        <f t="shared" ca="1" si="160"/>
        <v>0</v>
      </c>
      <c r="T482" s="70">
        <f t="shared" ca="1" si="161"/>
        <v>0</v>
      </c>
      <c r="U482" s="70">
        <f t="shared" ca="1" si="162"/>
        <v>0</v>
      </c>
      <c r="V482" s="70">
        <f t="shared" ca="1" si="163"/>
        <v>0</v>
      </c>
      <c r="W482" s="70">
        <f t="shared" ca="1" si="164"/>
        <v>0</v>
      </c>
      <c r="X482" s="70">
        <f t="shared" ca="1" si="165"/>
        <v>0</v>
      </c>
      <c r="Y482" s="71">
        <f t="shared" ca="1" si="166"/>
        <v>0</v>
      </c>
      <c r="Z482" s="71">
        <f t="shared" ca="1" si="174"/>
        <v>0</v>
      </c>
      <c r="AA482" s="71">
        <f t="shared" ca="1" si="167"/>
        <v>0</v>
      </c>
      <c r="AB482" s="71">
        <f t="shared" ca="1" si="168"/>
        <v>0</v>
      </c>
      <c r="AC482" s="71">
        <f t="shared" ca="1" si="175"/>
        <v>0</v>
      </c>
      <c r="AD482" s="71">
        <f t="shared" ca="1" si="169"/>
        <v>0</v>
      </c>
      <c r="AE482" s="72">
        <f t="shared" si="170"/>
        <v>0</v>
      </c>
      <c r="AF482" s="73">
        <f>IF(A482&gt;入力設定!$B$6*12,0,IF(AND(ISNUMBER(C482),C482&gt;=0,C482&lt;=1),0,1))</f>
        <v>0</v>
      </c>
    </row>
    <row r="483" spans="1:32" ht="21" customHeight="1">
      <c r="A483" s="68">
        <f>478</f>
        <v>478</v>
      </c>
      <c r="B483" s="69">
        <f>EDATE(入力設定!$B$7,A483-1)</f>
        <v>60845</v>
      </c>
      <c r="C483" s="80">
        <f>INDEX(入力設定!$C$15:$C$24,INT((A483-1)/60)+1)</f>
        <v>0.05</v>
      </c>
      <c r="D483" s="70">
        <f t="shared" ca="1" si="171"/>
        <v>0</v>
      </c>
      <c r="E483" s="70">
        <f t="shared" ca="1" si="172"/>
        <v>0</v>
      </c>
      <c r="F483" s="70">
        <f ca="1">IF(D483+Z483&lt;0.000001,0,IF(D483&lt;0.000001,F482,IF(OR(AE483=1,AND(K482&gt;0,入力設定!$B$8="返済額軽減型",入力設定!$B$11="翌月")),IF(C483=0,D483/MAX(1,E483),D483*(C483/12)/(1-(1+C483/12)^(-MAX(1,E483)))),F482)))</f>
        <v>0</v>
      </c>
      <c r="G483" s="70">
        <f t="shared" ca="1" si="154"/>
        <v>0</v>
      </c>
      <c r="H483" s="70">
        <f t="shared" ca="1" si="155"/>
        <v>0</v>
      </c>
      <c r="I483" s="70">
        <f t="shared" ca="1" si="156"/>
        <v>0</v>
      </c>
      <c r="J483" s="70">
        <f>SUMIFS(入力設定!$G$5:$G$24,入力設定!$F$5:$F$24,A483)</f>
        <v>0</v>
      </c>
      <c r="K483" s="70">
        <f t="shared" ca="1" si="157"/>
        <v>0</v>
      </c>
      <c r="L483" s="70">
        <f ca="1">IF(K483&gt;0,入力設定!$B$9,0)</f>
        <v>0</v>
      </c>
      <c r="M483" s="70">
        <f t="shared" ca="1" si="158"/>
        <v>0</v>
      </c>
      <c r="N483" s="70">
        <f ca="1">IF(M483+AA483&lt;0.000001,0,IF(AND(K483&gt;0,入力設定!$B$8="期間短縮型",AA483&lt;0.000001,F483&gt;M483*C483/12),MAX(1,MIN(E483-1,IF(C483=0,ROUNDUP(M483/F483,0),ROUNDUP(-LN(1-M483*(C483/12)/F483)/LN(1+C483/12),0)))),MAX(1,E483-1)))</f>
        <v>0</v>
      </c>
      <c r="O483" s="70">
        <f t="shared" ca="1" si="159"/>
        <v>0</v>
      </c>
      <c r="P483" s="70">
        <f t="shared" ca="1" si="173"/>
        <v>0</v>
      </c>
      <c r="Q483" s="70">
        <f ca="1">IF(OR(A483&gt;入力設定!$B$6*12,P483+AC483&lt;0.000001),0,IF(P483&lt;0.000001,Q482,IF(AE483=1,IF(C483=0,P483/MAX(1,入力設定!$B$6*12-A483+1),P483*(C483/12)/(1-(1+C483/12)^(-MAX(1,入力設定!$B$6*12-A483+1)))),Q482)))</f>
        <v>0</v>
      </c>
      <c r="R483" s="70">
        <f ca="1">IF(P483+AC483&lt;0.000001,0,IF(A483=入力設定!$B$6*12,P483+AB483+AC483,MIN(Q483,P483+AB483+AC483)))</f>
        <v>0</v>
      </c>
      <c r="S483" s="70">
        <f t="shared" ca="1" si="160"/>
        <v>0</v>
      </c>
      <c r="T483" s="70">
        <f t="shared" ca="1" si="161"/>
        <v>0</v>
      </c>
      <c r="U483" s="70">
        <f t="shared" ca="1" si="162"/>
        <v>0</v>
      </c>
      <c r="V483" s="70">
        <f t="shared" ca="1" si="163"/>
        <v>0</v>
      </c>
      <c r="W483" s="70">
        <f t="shared" ca="1" si="164"/>
        <v>0</v>
      </c>
      <c r="X483" s="70">
        <f t="shared" ca="1" si="165"/>
        <v>0</v>
      </c>
      <c r="Y483" s="71">
        <f t="shared" ca="1" si="166"/>
        <v>0</v>
      </c>
      <c r="Z483" s="71">
        <f t="shared" ca="1" si="174"/>
        <v>0</v>
      </c>
      <c r="AA483" s="71">
        <f t="shared" ca="1" si="167"/>
        <v>0</v>
      </c>
      <c r="AB483" s="71">
        <f t="shared" ca="1" si="168"/>
        <v>0</v>
      </c>
      <c r="AC483" s="71">
        <f t="shared" ca="1" si="175"/>
        <v>0</v>
      </c>
      <c r="AD483" s="71">
        <f t="shared" ca="1" si="169"/>
        <v>0</v>
      </c>
      <c r="AE483" s="72">
        <f t="shared" si="170"/>
        <v>0</v>
      </c>
      <c r="AF483" s="73">
        <f>IF(A483&gt;入力設定!$B$6*12,0,IF(AND(ISNUMBER(C483),C483&gt;=0,C483&lt;=1),0,1))</f>
        <v>0</v>
      </c>
    </row>
    <row r="484" spans="1:32" ht="21" customHeight="1">
      <c r="A484" s="68">
        <f>479</f>
        <v>479</v>
      </c>
      <c r="B484" s="69">
        <f>EDATE(入力設定!$B$7,A484-1)</f>
        <v>60876</v>
      </c>
      <c r="C484" s="80">
        <f>INDEX(入力設定!$C$15:$C$24,INT((A484-1)/60)+1)</f>
        <v>0.05</v>
      </c>
      <c r="D484" s="70">
        <f t="shared" ca="1" si="171"/>
        <v>0</v>
      </c>
      <c r="E484" s="70">
        <f t="shared" ca="1" si="172"/>
        <v>0</v>
      </c>
      <c r="F484" s="70">
        <f ca="1">IF(D484+Z484&lt;0.000001,0,IF(D484&lt;0.000001,F483,IF(OR(AE484=1,AND(K483&gt;0,入力設定!$B$8="返済額軽減型",入力設定!$B$11="翌月")),IF(C484=0,D484/MAX(1,E484),D484*(C484/12)/(1-(1+C484/12)^(-MAX(1,E484)))),F483)))</f>
        <v>0</v>
      </c>
      <c r="G484" s="70">
        <f t="shared" ca="1" si="154"/>
        <v>0</v>
      </c>
      <c r="H484" s="70">
        <f t="shared" ca="1" si="155"/>
        <v>0</v>
      </c>
      <c r="I484" s="70">
        <f t="shared" ca="1" si="156"/>
        <v>0</v>
      </c>
      <c r="J484" s="70">
        <f>SUMIFS(入力設定!$G$5:$G$24,入力設定!$F$5:$F$24,A484)</f>
        <v>0</v>
      </c>
      <c r="K484" s="70">
        <f t="shared" ca="1" si="157"/>
        <v>0</v>
      </c>
      <c r="L484" s="70">
        <f ca="1">IF(K484&gt;0,入力設定!$B$9,0)</f>
        <v>0</v>
      </c>
      <c r="M484" s="70">
        <f t="shared" ca="1" si="158"/>
        <v>0</v>
      </c>
      <c r="N484" s="70">
        <f ca="1">IF(M484+AA484&lt;0.000001,0,IF(AND(K484&gt;0,入力設定!$B$8="期間短縮型",AA484&lt;0.000001,F484&gt;M484*C484/12),MAX(1,MIN(E484-1,IF(C484=0,ROUNDUP(M484/F484,0),ROUNDUP(-LN(1-M484*(C484/12)/F484)/LN(1+C484/12),0)))),MAX(1,E484-1)))</f>
        <v>0</v>
      </c>
      <c r="O484" s="70">
        <f t="shared" ca="1" si="159"/>
        <v>0</v>
      </c>
      <c r="P484" s="70">
        <f t="shared" ca="1" si="173"/>
        <v>0</v>
      </c>
      <c r="Q484" s="70">
        <f ca="1">IF(OR(A484&gt;入力設定!$B$6*12,P484+AC484&lt;0.000001),0,IF(P484&lt;0.000001,Q483,IF(AE484=1,IF(C484=0,P484/MAX(1,入力設定!$B$6*12-A484+1),P484*(C484/12)/(1-(1+C484/12)^(-MAX(1,入力設定!$B$6*12-A484+1)))),Q483)))</f>
        <v>0</v>
      </c>
      <c r="R484" s="70">
        <f ca="1">IF(P484+AC484&lt;0.000001,0,IF(A484=入力設定!$B$6*12,P484+AB484+AC484,MIN(Q484,P484+AB484+AC484)))</f>
        <v>0</v>
      </c>
      <c r="S484" s="70">
        <f t="shared" ca="1" si="160"/>
        <v>0</v>
      </c>
      <c r="T484" s="70">
        <f t="shared" ca="1" si="161"/>
        <v>0</v>
      </c>
      <c r="U484" s="70">
        <f t="shared" ca="1" si="162"/>
        <v>0</v>
      </c>
      <c r="V484" s="70">
        <f t="shared" ca="1" si="163"/>
        <v>0</v>
      </c>
      <c r="W484" s="70">
        <f t="shared" ca="1" si="164"/>
        <v>0</v>
      </c>
      <c r="X484" s="70">
        <f t="shared" ca="1" si="165"/>
        <v>0</v>
      </c>
      <c r="Y484" s="71">
        <f t="shared" ca="1" si="166"/>
        <v>0</v>
      </c>
      <c r="Z484" s="71">
        <f t="shared" ca="1" si="174"/>
        <v>0</v>
      </c>
      <c r="AA484" s="71">
        <f t="shared" ca="1" si="167"/>
        <v>0</v>
      </c>
      <c r="AB484" s="71">
        <f t="shared" ca="1" si="168"/>
        <v>0</v>
      </c>
      <c r="AC484" s="71">
        <f t="shared" ca="1" si="175"/>
        <v>0</v>
      </c>
      <c r="AD484" s="71">
        <f t="shared" ca="1" si="169"/>
        <v>0</v>
      </c>
      <c r="AE484" s="72">
        <f t="shared" si="170"/>
        <v>0</v>
      </c>
      <c r="AF484" s="73">
        <f>IF(A484&gt;入力設定!$B$6*12,0,IF(AND(ISNUMBER(C484),C484&gt;=0,C484&lt;=1),0,1))</f>
        <v>0</v>
      </c>
    </row>
    <row r="485" spans="1:32" ht="21" customHeight="1">
      <c r="A485" s="68">
        <f>480</f>
        <v>480</v>
      </c>
      <c r="B485" s="69">
        <f>EDATE(入力設定!$B$7,A485-1)</f>
        <v>60906</v>
      </c>
      <c r="C485" s="80">
        <f>INDEX(入力設定!$C$15:$C$24,INT((A485-1)/60)+1)</f>
        <v>0.05</v>
      </c>
      <c r="D485" s="70">
        <f t="shared" ca="1" si="171"/>
        <v>0</v>
      </c>
      <c r="E485" s="70">
        <f t="shared" ca="1" si="172"/>
        <v>0</v>
      </c>
      <c r="F485" s="70">
        <f ca="1">IF(D485+Z485&lt;0.000001,0,IF(D485&lt;0.000001,F484,IF(OR(AE485=1,AND(K484&gt;0,入力設定!$B$8="返済額軽減型",入力設定!$B$11="翌月")),IF(C485=0,D485/MAX(1,E485),D485*(C485/12)/(1-(1+C485/12)^(-MAX(1,E485)))),F484)))</f>
        <v>0</v>
      </c>
      <c r="G485" s="70">
        <f t="shared" ca="1" si="154"/>
        <v>0</v>
      </c>
      <c r="H485" s="70">
        <f t="shared" ca="1" si="155"/>
        <v>0</v>
      </c>
      <c r="I485" s="70">
        <f t="shared" ca="1" si="156"/>
        <v>0</v>
      </c>
      <c r="J485" s="70">
        <f>SUMIFS(入力設定!$G$5:$G$24,入力設定!$F$5:$F$24,A485)</f>
        <v>0</v>
      </c>
      <c r="K485" s="70">
        <f t="shared" ca="1" si="157"/>
        <v>0</v>
      </c>
      <c r="L485" s="70">
        <f ca="1">IF(K485&gt;0,入力設定!$B$9,0)</f>
        <v>0</v>
      </c>
      <c r="M485" s="70">
        <f t="shared" ca="1" si="158"/>
        <v>0</v>
      </c>
      <c r="N485" s="70">
        <f ca="1">IF(M485+AA485&lt;0.000001,0,IF(AND(K485&gt;0,入力設定!$B$8="期間短縮型",AA485&lt;0.000001,F485&gt;M485*C485/12),MAX(1,MIN(E485-1,IF(C485=0,ROUNDUP(M485/F485,0),ROUNDUP(-LN(1-M485*(C485/12)/F485)/LN(1+C485/12),0)))),MAX(1,E485-1)))</f>
        <v>0</v>
      </c>
      <c r="O485" s="70">
        <f t="shared" ca="1" si="159"/>
        <v>0</v>
      </c>
      <c r="P485" s="70">
        <f t="shared" ca="1" si="173"/>
        <v>0</v>
      </c>
      <c r="Q485" s="70">
        <f ca="1">IF(OR(A485&gt;入力設定!$B$6*12,P485+AC485&lt;0.000001),0,IF(P485&lt;0.000001,Q484,IF(AE485=1,IF(C485=0,P485/MAX(1,入力設定!$B$6*12-A485+1),P485*(C485/12)/(1-(1+C485/12)^(-MAX(1,入力設定!$B$6*12-A485+1)))),Q484)))</f>
        <v>0</v>
      </c>
      <c r="R485" s="70">
        <f ca="1">IF(P485+AC485&lt;0.000001,0,IF(A485=入力設定!$B$6*12,P485+AB485+AC485,MIN(Q485,P485+AB485+AC485)))</f>
        <v>0</v>
      </c>
      <c r="S485" s="70">
        <f t="shared" ca="1" si="160"/>
        <v>0</v>
      </c>
      <c r="T485" s="70">
        <f t="shared" ca="1" si="161"/>
        <v>0</v>
      </c>
      <c r="U485" s="70">
        <f t="shared" ca="1" si="162"/>
        <v>0</v>
      </c>
      <c r="V485" s="70">
        <f t="shared" ca="1" si="163"/>
        <v>0</v>
      </c>
      <c r="W485" s="70">
        <f t="shared" ca="1" si="164"/>
        <v>0</v>
      </c>
      <c r="X485" s="70">
        <f t="shared" ca="1" si="165"/>
        <v>0</v>
      </c>
      <c r="Y485" s="71">
        <f t="shared" ca="1" si="166"/>
        <v>0</v>
      </c>
      <c r="Z485" s="71">
        <f t="shared" ca="1" si="174"/>
        <v>0</v>
      </c>
      <c r="AA485" s="71">
        <f t="shared" ca="1" si="167"/>
        <v>0</v>
      </c>
      <c r="AB485" s="71">
        <f t="shared" ca="1" si="168"/>
        <v>0</v>
      </c>
      <c r="AC485" s="71">
        <f t="shared" ca="1" si="175"/>
        <v>0</v>
      </c>
      <c r="AD485" s="71">
        <f t="shared" ca="1" si="169"/>
        <v>0</v>
      </c>
      <c r="AE485" s="72">
        <f t="shared" si="170"/>
        <v>0</v>
      </c>
      <c r="AF485" s="73">
        <f>IF(A485&gt;入力設定!$B$6*12,0,IF(AND(ISNUMBER(C485),C485&gt;=0,C485&lt;=1),0,1))</f>
        <v>0</v>
      </c>
    </row>
    <row r="486" spans="1:32" ht="21" customHeight="1">
      <c r="A486" s="68">
        <f>481</f>
        <v>481</v>
      </c>
      <c r="B486" s="69">
        <f>EDATE(入力設定!$B$7,A486-1)</f>
        <v>60937</v>
      </c>
      <c r="C486" s="80">
        <f>INDEX(入力設定!$C$15:$C$24,INT((A486-1)/60)+1)</f>
        <v>0.05</v>
      </c>
      <c r="D486" s="70">
        <f t="shared" ca="1" si="171"/>
        <v>0</v>
      </c>
      <c r="E486" s="70">
        <f t="shared" ca="1" si="172"/>
        <v>0</v>
      </c>
      <c r="F486" s="70">
        <f ca="1">IF(D486+Z486&lt;0.000001,0,IF(D486&lt;0.000001,F485,IF(OR(AE486=1,AND(K485&gt;0,入力設定!$B$8="返済額軽減型",入力設定!$B$11="翌月")),IF(C486=0,D486/MAX(1,E486),D486*(C486/12)/(1-(1+C486/12)^(-MAX(1,E486)))),F485)))</f>
        <v>0</v>
      </c>
      <c r="G486" s="70">
        <f t="shared" ca="1" si="154"/>
        <v>0</v>
      </c>
      <c r="H486" s="70">
        <f t="shared" ca="1" si="155"/>
        <v>0</v>
      </c>
      <c r="I486" s="70">
        <f t="shared" ca="1" si="156"/>
        <v>0</v>
      </c>
      <c r="J486" s="70">
        <f>SUMIFS(入力設定!$G$5:$G$24,入力設定!$F$5:$F$24,A486)</f>
        <v>0</v>
      </c>
      <c r="K486" s="70">
        <f t="shared" ca="1" si="157"/>
        <v>0</v>
      </c>
      <c r="L486" s="70">
        <f ca="1">IF(K486&gt;0,入力設定!$B$9,0)</f>
        <v>0</v>
      </c>
      <c r="M486" s="70">
        <f t="shared" ca="1" si="158"/>
        <v>0</v>
      </c>
      <c r="N486" s="70">
        <f ca="1">IF(M486+AA486&lt;0.000001,0,IF(AND(K486&gt;0,入力設定!$B$8="期間短縮型",AA486&lt;0.000001,F486&gt;M486*C486/12),MAX(1,MIN(E486-1,IF(C486=0,ROUNDUP(M486/F486,0),ROUNDUP(-LN(1-M486*(C486/12)/F486)/LN(1+C486/12),0)))),MAX(1,E486-1)))</f>
        <v>0</v>
      </c>
      <c r="O486" s="70">
        <f t="shared" ca="1" si="159"/>
        <v>0</v>
      </c>
      <c r="P486" s="70">
        <f t="shared" ca="1" si="173"/>
        <v>0</v>
      </c>
      <c r="Q486" s="70">
        <f ca="1">IF(OR(A486&gt;入力設定!$B$6*12,P486+AC486&lt;0.000001),0,IF(P486&lt;0.000001,Q485,IF(AE486=1,IF(C486=0,P486/MAX(1,入力設定!$B$6*12-A486+1),P486*(C486/12)/(1-(1+C486/12)^(-MAX(1,入力設定!$B$6*12-A486+1)))),Q485)))</f>
        <v>0</v>
      </c>
      <c r="R486" s="70">
        <f ca="1">IF(P486+AC486&lt;0.000001,0,IF(A486=入力設定!$B$6*12,P486+AB486+AC486,MIN(Q486,P486+AB486+AC486)))</f>
        <v>0</v>
      </c>
      <c r="S486" s="70">
        <f t="shared" ca="1" si="160"/>
        <v>0</v>
      </c>
      <c r="T486" s="70">
        <f t="shared" ca="1" si="161"/>
        <v>0</v>
      </c>
      <c r="U486" s="70">
        <f t="shared" ca="1" si="162"/>
        <v>0</v>
      </c>
      <c r="V486" s="70">
        <f t="shared" ca="1" si="163"/>
        <v>0</v>
      </c>
      <c r="W486" s="70">
        <f t="shared" ca="1" si="164"/>
        <v>0</v>
      </c>
      <c r="X486" s="70">
        <f t="shared" ca="1" si="165"/>
        <v>0</v>
      </c>
      <c r="Y486" s="71">
        <f t="shared" ca="1" si="166"/>
        <v>0</v>
      </c>
      <c r="Z486" s="71">
        <f t="shared" ca="1" si="174"/>
        <v>0</v>
      </c>
      <c r="AA486" s="71">
        <f t="shared" ca="1" si="167"/>
        <v>0</v>
      </c>
      <c r="AB486" s="71">
        <f t="shared" ca="1" si="168"/>
        <v>0</v>
      </c>
      <c r="AC486" s="71">
        <f t="shared" ca="1" si="175"/>
        <v>0</v>
      </c>
      <c r="AD486" s="71">
        <f t="shared" ca="1" si="169"/>
        <v>0</v>
      </c>
      <c r="AE486" s="72">
        <f t="shared" si="170"/>
        <v>1</v>
      </c>
      <c r="AF486" s="73">
        <f>IF(A486&gt;入力設定!$B$6*12,0,IF(AND(ISNUMBER(C486),C486&gt;=0,C486&lt;=1),0,1))</f>
        <v>0</v>
      </c>
    </row>
    <row r="487" spans="1:32" ht="21" customHeight="1">
      <c r="A487" s="68">
        <f>482</f>
        <v>482</v>
      </c>
      <c r="B487" s="69">
        <f>EDATE(入力設定!$B$7,A487-1)</f>
        <v>60967</v>
      </c>
      <c r="C487" s="80">
        <f>INDEX(入力設定!$C$15:$C$24,INT((A487-1)/60)+1)</f>
        <v>0.05</v>
      </c>
      <c r="D487" s="70">
        <f t="shared" ca="1" si="171"/>
        <v>0</v>
      </c>
      <c r="E487" s="70">
        <f t="shared" ca="1" si="172"/>
        <v>0</v>
      </c>
      <c r="F487" s="70">
        <f ca="1">IF(D487+Z487&lt;0.000001,0,IF(D487&lt;0.000001,F486,IF(OR(AE487=1,AND(K486&gt;0,入力設定!$B$8="返済額軽減型",入力設定!$B$11="翌月")),IF(C487=0,D487/MAX(1,E487),D487*(C487/12)/(1-(1+C487/12)^(-MAX(1,E487)))),F486)))</f>
        <v>0</v>
      </c>
      <c r="G487" s="70">
        <f t="shared" ca="1" si="154"/>
        <v>0</v>
      </c>
      <c r="H487" s="70">
        <f t="shared" ca="1" si="155"/>
        <v>0</v>
      </c>
      <c r="I487" s="70">
        <f t="shared" ca="1" si="156"/>
        <v>0</v>
      </c>
      <c r="J487" s="70">
        <f>SUMIFS(入力設定!$G$5:$G$24,入力設定!$F$5:$F$24,A487)</f>
        <v>0</v>
      </c>
      <c r="K487" s="70">
        <f t="shared" ca="1" si="157"/>
        <v>0</v>
      </c>
      <c r="L487" s="70">
        <f ca="1">IF(K487&gt;0,入力設定!$B$9,0)</f>
        <v>0</v>
      </c>
      <c r="M487" s="70">
        <f t="shared" ca="1" si="158"/>
        <v>0</v>
      </c>
      <c r="N487" s="70">
        <f ca="1">IF(M487+AA487&lt;0.000001,0,IF(AND(K487&gt;0,入力設定!$B$8="期間短縮型",AA487&lt;0.000001,F487&gt;M487*C487/12),MAX(1,MIN(E487-1,IF(C487=0,ROUNDUP(M487/F487,0),ROUNDUP(-LN(1-M487*(C487/12)/F487)/LN(1+C487/12),0)))),MAX(1,E487-1)))</f>
        <v>0</v>
      </c>
      <c r="O487" s="70">
        <f t="shared" ca="1" si="159"/>
        <v>0</v>
      </c>
      <c r="P487" s="70">
        <f t="shared" ca="1" si="173"/>
        <v>0</v>
      </c>
      <c r="Q487" s="70">
        <f ca="1">IF(OR(A487&gt;入力設定!$B$6*12,P487+AC487&lt;0.000001),0,IF(P487&lt;0.000001,Q486,IF(AE487=1,IF(C487=0,P487/MAX(1,入力設定!$B$6*12-A487+1),P487*(C487/12)/(1-(1+C487/12)^(-MAX(1,入力設定!$B$6*12-A487+1)))),Q486)))</f>
        <v>0</v>
      </c>
      <c r="R487" s="70">
        <f ca="1">IF(P487+AC487&lt;0.000001,0,IF(A487=入力設定!$B$6*12,P487+AB487+AC487,MIN(Q487,P487+AB487+AC487)))</f>
        <v>0</v>
      </c>
      <c r="S487" s="70">
        <f t="shared" ca="1" si="160"/>
        <v>0</v>
      </c>
      <c r="T487" s="70">
        <f t="shared" ca="1" si="161"/>
        <v>0</v>
      </c>
      <c r="U487" s="70">
        <f t="shared" ca="1" si="162"/>
        <v>0</v>
      </c>
      <c r="V487" s="70">
        <f t="shared" ca="1" si="163"/>
        <v>0</v>
      </c>
      <c r="W487" s="70">
        <f t="shared" ca="1" si="164"/>
        <v>0</v>
      </c>
      <c r="X487" s="70">
        <f t="shared" ca="1" si="165"/>
        <v>0</v>
      </c>
      <c r="Y487" s="71">
        <f t="shared" ca="1" si="166"/>
        <v>0</v>
      </c>
      <c r="Z487" s="71">
        <f t="shared" ca="1" si="174"/>
        <v>0</v>
      </c>
      <c r="AA487" s="71">
        <f t="shared" ca="1" si="167"/>
        <v>0</v>
      </c>
      <c r="AB487" s="71">
        <f t="shared" ca="1" si="168"/>
        <v>0</v>
      </c>
      <c r="AC487" s="71">
        <f t="shared" ca="1" si="175"/>
        <v>0</v>
      </c>
      <c r="AD487" s="71">
        <f t="shared" ca="1" si="169"/>
        <v>0</v>
      </c>
      <c r="AE487" s="72">
        <f t="shared" si="170"/>
        <v>0</v>
      </c>
      <c r="AF487" s="73">
        <f>IF(A487&gt;入力設定!$B$6*12,0,IF(AND(ISNUMBER(C487),C487&gt;=0,C487&lt;=1),0,1))</f>
        <v>0</v>
      </c>
    </row>
    <row r="488" spans="1:32" ht="21" customHeight="1">
      <c r="A488" s="68">
        <f>483</f>
        <v>483</v>
      </c>
      <c r="B488" s="69">
        <f>EDATE(入力設定!$B$7,A488-1)</f>
        <v>60998</v>
      </c>
      <c r="C488" s="80">
        <f>INDEX(入力設定!$C$15:$C$24,INT((A488-1)/60)+1)</f>
        <v>0.05</v>
      </c>
      <c r="D488" s="70">
        <f t="shared" ca="1" si="171"/>
        <v>0</v>
      </c>
      <c r="E488" s="70">
        <f t="shared" ca="1" si="172"/>
        <v>0</v>
      </c>
      <c r="F488" s="70">
        <f ca="1">IF(D488+Z488&lt;0.000001,0,IF(D488&lt;0.000001,F487,IF(OR(AE488=1,AND(K487&gt;0,入力設定!$B$8="返済額軽減型",入力設定!$B$11="翌月")),IF(C488=0,D488/MAX(1,E488),D488*(C488/12)/(1-(1+C488/12)^(-MAX(1,E488)))),F487)))</f>
        <v>0</v>
      </c>
      <c r="G488" s="70">
        <f t="shared" ca="1" si="154"/>
        <v>0</v>
      </c>
      <c r="H488" s="70">
        <f t="shared" ca="1" si="155"/>
        <v>0</v>
      </c>
      <c r="I488" s="70">
        <f t="shared" ca="1" si="156"/>
        <v>0</v>
      </c>
      <c r="J488" s="70">
        <f>SUMIFS(入力設定!$G$5:$G$24,入力設定!$F$5:$F$24,A488)</f>
        <v>0</v>
      </c>
      <c r="K488" s="70">
        <f t="shared" ca="1" si="157"/>
        <v>0</v>
      </c>
      <c r="L488" s="70">
        <f ca="1">IF(K488&gt;0,入力設定!$B$9,0)</f>
        <v>0</v>
      </c>
      <c r="M488" s="70">
        <f t="shared" ca="1" si="158"/>
        <v>0</v>
      </c>
      <c r="N488" s="70">
        <f ca="1">IF(M488+AA488&lt;0.000001,0,IF(AND(K488&gt;0,入力設定!$B$8="期間短縮型",AA488&lt;0.000001,F488&gt;M488*C488/12),MAX(1,MIN(E488-1,IF(C488=0,ROUNDUP(M488/F488,0),ROUNDUP(-LN(1-M488*(C488/12)/F488)/LN(1+C488/12),0)))),MAX(1,E488-1)))</f>
        <v>0</v>
      </c>
      <c r="O488" s="70">
        <f t="shared" ca="1" si="159"/>
        <v>0</v>
      </c>
      <c r="P488" s="70">
        <f t="shared" ca="1" si="173"/>
        <v>0</v>
      </c>
      <c r="Q488" s="70">
        <f ca="1">IF(OR(A488&gt;入力設定!$B$6*12,P488+AC488&lt;0.000001),0,IF(P488&lt;0.000001,Q487,IF(AE488=1,IF(C488=0,P488/MAX(1,入力設定!$B$6*12-A488+1),P488*(C488/12)/(1-(1+C488/12)^(-MAX(1,入力設定!$B$6*12-A488+1)))),Q487)))</f>
        <v>0</v>
      </c>
      <c r="R488" s="70">
        <f ca="1">IF(P488+AC488&lt;0.000001,0,IF(A488=入力設定!$B$6*12,P488+AB488+AC488,MIN(Q488,P488+AB488+AC488)))</f>
        <v>0</v>
      </c>
      <c r="S488" s="70">
        <f t="shared" ca="1" si="160"/>
        <v>0</v>
      </c>
      <c r="T488" s="70">
        <f t="shared" ca="1" si="161"/>
        <v>0</v>
      </c>
      <c r="U488" s="70">
        <f t="shared" ca="1" si="162"/>
        <v>0</v>
      </c>
      <c r="V488" s="70">
        <f t="shared" ca="1" si="163"/>
        <v>0</v>
      </c>
      <c r="W488" s="70">
        <f t="shared" ca="1" si="164"/>
        <v>0</v>
      </c>
      <c r="X488" s="70">
        <f t="shared" ca="1" si="165"/>
        <v>0</v>
      </c>
      <c r="Y488" s="71">
        <f t="shared" ca="1" si="166"/>
        <v>0</v>
      </c>
      <c r="Z488" s="71">
        <f t="shared" ca="1" si="174"/>
        <v>0</v>
      </c>
      <c r="AA488" s="71">
        <f t="shared" ca="1" si="167"/>
        <v>0</v>
      </c>
      <c r="AB488" s="71">
        <f t="shared" ca="1" si="168"/>
        <v>0</v>
      </c>
      <c r="AC488" s="71">
        <f t="shared" ca="1" si="175"/>
        <v>0</v>
      </c>
      <c r="AD488" s="71">
        <f t="shared" ca="1" si="169"/>
        <v>0</v>
      </c>
      <c r="AE488" s="72">
        <f t="shared" si="170"/>
        <v>0</v>
      </c>
      <c r="AF488" s="73">
        <f>IF(A488&gt;入力設定!$B$6*12,0,IF(AND(ISNUMBER(C488),C488&gt;=0,C488&lt;=1),0,1))</f>
        <v>0</v>
      </c>
    </row>
    <row r="489" spans="1:32" ht="21" customHeight="1">
      <c r="A489" s="68">
        <f>484</f>
        <v>484</v>
      </c>
      <c r="B489" s="69">
        <f>EDATE(入力設定!$B$7,A489-1)</f>
        <v>61029</v>
      </c>
      <c r="C489" s="80">
        <f>INDEX(入力設定!$C$15:$C$24,INT((A489-1)/60)+1)</f>
        <v>0.05</v>
      </c>
      <c r="D489" s="70">
        <f t="shared" ca="1" si="171"/>
        <v>0</v>
      </c>
      <c r="E489" s="70">
        <f t="shared" ca="1" si="172"/>
        <v>0</v>
      </c>
      <c r="F489" s="70">
        <f ca="1">IF(D489+Z489&lt;0.000001,0,IF(D489&lt;0.000001,F488,IF(OR(AE489=1,AND(K488&gt;0,入力設定!$B$8="返済額軽減型",入力設定!$B$11="翌月")),IF(C489=0,D489/MAX(1,E489),D489*(C489/12)/(1-(1+C489/12)^(-MAX(1,E489)))),F488)))</f>
        <v>0</v>
      </c>
      <c r="G489" s="70">
        <f t="shared" ca="1" si="154"/>
        <v>0</v>
      </c>
      <c r="H489" s="70">
        <f t="shared" ca="1" si="155"/>
        <v>0</v>
      </c>
      <c r="I489" s="70">
        <f t="shared" ca="1" si="156"/>
        <v>0</v>
      </c>
      <c r="J489" s="70">
        <f>SUMIFS(入力設定!$G$5:$G$24,入力設定!$F$5:$F$24,A489)</f>
        <v>0</v>
      </c>
      <c r="K489" s="70">
        <f t="shared" ca="1" si="157"/>
        <v>0</v>
      </c>
      <c r="L489" s="70">
        <f ca="1">IF(K489&gt;0,入力設定!$B$9,0)</f>
        <v>0</v>
      </c>
      <c r="M489" s="70">
        <f t="shared" ca="1" si="158"/>
        <v>0</v>
      </c>
      <c r="N489" s="70">
        <f ca="1">IF(M489+AA489&lt;0.000001,0,IF(AND(K489&gt;0,入力設定!$B$8="期間短縮型",AA489&lt;0.000001,F489&gt;M489*C489/12),MAX(1,MIN(E489-1,IF(C489=0,ROUNDUP(M489/F489,0),ROUNDUP(-LN(1-M489*(C489/12)/F489)/LN(1+C489/12),0)))),MAX(1,E489-1)))</f>
        <v>0</v>
      </c>
      <c r="O489" s="70">
        <f t="shared" ca="1" si="159"/>
        <v>0</v>
      </c>
      <c r="P489" s="70">
        <f t="shared" ca="1" si="173"/>
        <v>0</v>
      </c>
      <c r="Q489" s="70">
        <f ca="1">IF(OR(A489&gt;入力設定!$B$6*12,P489+AC489&lt;0.000001),0,IF(P489&lt;0.000001,Q488,IF(AE489=1,IF(C489=0,P489/MAX(1,入力設定!$B$6*12-A489+1),P489*(C489/12)/(1-(1+C489/12)^(-MAX(1,入力設定!$B$6*12-A489+1)))),Q488)))</f>
        <v>0</v>
      </c>
      <c r="R489" s="70">
        <f ca="1">IF(P489+AC489&lt;0.000001,0,IF(A489=入力設定!$B$6*12,P489+AB489+AC489,MIN(Q489,P489+AB489+AC489)))</f>
        <v>0</v>
      </c>
      <c r="S489" s="70">
        <f t="shared" ca="1" si="160"/>
        <v>0</v>
      </c>
      <c r="T489" s="70">
        <f t="shared" ca="1" si="161"/>
        <v>0</v>
      </c>
      <c r="U489" s="70">
        <f t="shared" ca="1" si="162"/>
        <v>0</v>
      </c>
      <c r="V489" s="70">
        <f t="shared" ca="1" si="163"/>
        <v>0</v>
      </c>
      <c r="W489" s="70">
        <f t="shared" ca="1" si="164"/>
        <v>0</v>
      </c>
      <c r="X489" s="70">
        <f t="shared" ca="1" si="165"/>
        <v>0</v>
      </c>
      <c r="Y489" s="71">
        <f t="shared" ca="1" si="166"/>
        <v>0</v>
      </c>
      <c r="Z489" s="71">
        <f t="shared" ca="1" si="174"/>
        <v>0</v>
      </c>
      <c r="AA489" s="71">
        <f t="shared" ca="1" si="167"/>
        <v>0</v>
      </c>
      <c r="AB489" s="71">
        <f t="shared" ca="1" si="168"/>
        <v>0</v>
      </c>
      <c r="AC489" s="71">
        <f t="shared" ca="1" si="175"/>
        <v>0</v>
      </c>
      <c r="AD489" s="71">
        <f t="shared" ca="1" si="169"/>
        <v>0</v>
      </c>
      <c r="AE489" s="72">
        <f t="shared" si="170"/>
        <v>0</v>
      </c>
      <c r="AF489" s="73">
        <f>IF(A489&gt;入力設定!$B$6*12,0,IF(AND(ISNUMBER(C489),C489&gt;=0,C489&lt;=1),0,1))</f>
        <v>0</v>
      </c>
    </row>
    <row r="490" spans="1:32" ht="21" customHeight="1">
      <c r="A490" s="68">
        <f>485</f>
        <v>485</v>
      </c>
      <c r="B490" s="69">
        <f>EDATE(入力設定!$B$7,A490-1)</f>
        <v>61057</v>
      </c>
      <c r="C490" s="80">
        <f>INDEX(入力設定!$C$15:$C$24,INT((A490-1)/60)+1)</f>
        <v>0.05</v>
      </c>
      <c r="D490" s="70">
        <f t="shared" ca="1" si="171"/>
        <v>0</v>
      </c>
      <c r="E490" s="70">
        <f t="shared" ca="1" si="172"/>
        <v>0</v>
      </c>
      <c r="F490" s="70">
        <f ca="1">IF(D490+Z490&lt;0.000001,0,IF(D490&lt;0.000001,F489,IF(OR(AE490=1,AND(K489&gt;0,入力設定!$B$8="返済額軽減型",入力設定!$B$11="翌月")),IF(C490=0,D490/MAX(1,E490),D490*(C490/12)/(1-(1+C490/12)^(-MAX(1,E490)))),F489)))</f>
        <v>0</v>
      </c>
      <c r="G490" s="70">
        <f t="shared" ca="1" si="154"/>
        <v>0</v>
      </c>
      <c r="H490" s="70">
        <f t="shared" ca="1" si="155"/>
        <v>0</v>
      </c>
      <c r="I490" s="70">
        <f t="shared" ca="1" si="156"/>
        <v>0</v>
      </c>
      <c r="J490" s="70">
        <f>SUMIFS(入力設定!$G$5:$G$24,入力設定!$F$5:$F$24,A490)</f>
        <v>0</v>
      </c>
      <c r="K490" s="70">
        <f t="shared" ca="1" si="157"/>
        <v>0</v>
      </c>
      <c r="L490" s="70">
        <f ca="1">IF(K490&gt;0,入力設定!$B$9,0)</f>
        <v>0</v>
      </c>
      <c r="M490" s="70">
        <f t="shared" ca="1" si="158"/>
        <v>0</v>
      </c>
      <c r="N490" s="70">
        <f ca="1">IF(M490+AA490&lt;0.000001,0,IF(AND(K490&gt;0,入力設定!$B$8="期間短縮型",AA490&lt;0.000001,F490&gt;M490*C490/12),MAX(1,MIN(E490-1,IF(C490=0,ROUNDUP(M490/F490,0),ROUNDUP(-LN(1-M490*(C490/12)/F490)/LN(1+C490/12),0)))),MAX(1,E490-1)))</f>
        <v>0</v>
      </c>
      <c r="O490" s="70">
        <f t="shared" ca="1" si="159"/>
        <v>0</v>
      </c>
      <c r="P490" s="70">
        <f t="shared" ca="1" si="173"/>
        <v>0</v>
      </c>
      <c r="Q490" s="70">
        <f ca="1">IF(OR(A490&gt;入力設定!$B$6*12,P490+AC490&lt;0.000001),0,IF(P490&lt;0.000001,Q489,IF(AE490=1,IF(C490=0,P490/MAX(1,入力設定!$B$6*12-A490+1),P490*(C490/12)/(1-(1+C490/12)^(-MAX(1,入力設定!$B$6*12-A490+1)))),Q489)))</f>
        <v>0</v>
      </c>
      <c r="R490" s="70">
        <f ca="1">IF(P490+AC490&lt;0.000001,0,IF(A490=入力設定!$B$6*12,P490+AB490+AC490,MIN(Q490,P490+AB490+AC490)))</f>
        <v>0</v>
      </c>
      <c r="S490" s="70">
        <f t="shared" ca="1" si="160"/>
        <v>0</v>
      </c>
      <c r="T490" s="70">
        <f t="shared" ca="1" si="161"/>
        <v>0</v>
      </c>
      <c r="U490" s="70">
        <f t="shared" ca="1" si="162"/>
        <v>0</v>
      </c>
      <c r="V490" s="70">
        <f t="shared" ca="1" si="163"/>
        <v>0</v>
      </c>
      <c r="W490" s="70">
        <f t="shared" ca="1" si="164"/>
        <v>0</v>
      </c>
      <c r="X490" s="70">
        <f t="shared" ca="1" si="165"/>
        <v>0</v>
      </c>
      <c r="Y490" s="71">
        <f t="shared" ca="1" si="166"/>
        <v>0</v>
      </c>
      <c r="Z490" s="71">
        <f t="shared" ca="1" si="174"/>
        <v>0</v>
      </c>
      <c r="AA490" s="71">
        <f t="shared" ca="1" si="167"/>
        <v>0</v>
      </c>
      <c r="AB490" s="71">
        <f t="shared" ca="1" si="168"/>
        <v>0</v>
      </c>
      <c r="AC490" s="71">
        <f t="shared" ca="1" si="175"/>
        <v>0</v>
      </c>
      <c r="AD490" s="71">
        <f t="shared" ca="1" si="169"/>
        <v>0</v>
      </c>
      <c r="AE490" s="72">
        <f t="shared" si="170"/>
        <v>0</v>
      </c>
      <c r="AF490" s="73">
        <f>IF(A490&gt;入力設定!$B$6*12,0,IF(AND(ISNUMBER(C490),C490&gt;=0,C490&lt;=1),0,1))</f>
        <v>0</v>
      </c>
    </row>
    <row r="491" spans="1:32" ht="21" customHeight="1">
      <c r="A491" s="68">
        <f>486</f>
        <v>486</v>
      </c>
      <c r="B491" s="69">
        <f>EDATE(入力設定!$B$7,A491-1)</f>
        <v>61088</v>
      </c>
      <c r="C491" s="80">
        <f>INDEX(入力設定!$C$15:$C$24,INT((A491-1)/60)+1)</f>
        <v>0.05</v>
      </c>
      <c r="D491" s="70">
        <f t="shared" ca="1" si="171"/>
        <v>0</v>
      </c>
      <c r="E491" s="70">
        <f t="shared" ca="1" si="172"/>
        <v>0</v>
      </c>
      <c r="F491" s="70">
        <f ca="1">IF(D491+Z491&lt;0.000001,0,IF(D491&lt;0.000001,F490,IF(OR(AE491=1,AND(K490&gt;0,入力設定!$B$8="返済額軽減型",入力設定!$B$11="翌月")),IF(C491=0,D491/MAX(1,E491),D491*(C491/12)/(1-(1+C491/12)^(-MAX(1,E491)))),F490)))</f>
        <v>0</v>
      </c>
      <c r="G491" s="70">
        <f t="shared" ca="1" si="154"/>
        <v>0</v>
      </c>
      <c r="H491" s="70">
        <f t="shared" ca="1" si="155"/>
        <v>0</v>
      </c>
      <c r="I491" s="70">
        <f t="shared" ca="1" si="156"/>
        <v>0</v>
      </c>
      <c r="J491" s="70">
        <f>SUMIFS(入力設定!$G$5:$G$24,入力設定!$F$5:$F$24,A491)</f>
        <v>0</v>
      </c>
      <c r="K491" s="70">
        <f t="shared" ca="1" si="157"/>
        <v>0</v>
      </c>
      <c r="L491" s="70">
        <f ca="1">IF(K491&gt;0,入力設定!$B$9,0)</f>
        <v>0</v>
      </c>
      <c r="M491" s="70">
        <f t="shared" ca="1" si="158"/>
        <v>0</v>
      </c>
      <c r="N491" s="70">
        <f ca="1">IF(M491+AA491&lt;0.000001,0,IF(AND(K491&gt;0,入力設定!$B$8="期間短縮型",AA491&lt;0.000001,F491&gt;M491*C491/12),MAX(1,MIN(E491-1,IF(C491=0,ROUNDUP(M491/F491,0),ROUNDUP(-LN(1-M491*(C491/12)/F491)/LN(1+C491/12),0)))),MAX(1,E491-1)))</f>
        <v>0</v>
      </c>
      <c r="O491" s="70">
        <f t="shared" ca="1" si="159"/>
        <v>0</v>
      </c>
      <c r="P491" s="70">
        <f t="shared" ca="1" si="173"/>
        <v>0</v>
      </c>
      <c r="Q491" s="70">
        <f ca="1">IF(OR(A491&gt;入力設定!$B$6*12,P491+AC491&lt;0.000001),0,IF(P491&lt;0.000001,Q490,IF(AE491=1,IF(C491=0,P491/MAX(1,入力設定!$B$6*12-A491+1),P491*(C491/12)/(1-(1+C491/12)^(-MAX(1,入力設定!$B$6*12-A491+1)))),Q490)))</f>
        <v>0</v>
      </c>
      <c r="R491" s="70">
        <f ca="1">IF(P491+AC491&lt;0.000001,0,IF(A491=入力設定!$B$6*12,P491+AB491+AC491,MIN(Q491,P491+AB491+AC491)))</f>
        <v>0</v>
      </c>
      <c r="S491" s="70">
        <f t="shared" ca="1" si="160"/>
        <v>0</v>
      </c>
      <c r="T491" s="70">
        <f t="shared" ca="1" si="161"/>
        <v>0</v>
      </c>
      <c r="U491" s="70">
        <f t="shared" ca="1" si="162"/>
        <v>0</v>
      </c>
      <c r="V491" s="70">
        <f t="shared" ca="1" si="163"/>
        <v>0</v>
      </c>
      <c r="W491" s="70">
        <f t="shared" ca="1" si="164"/>
        <v>0</v>
      </c>
      <c r="X491" s="70">
        <f t="shared" ca="1" si="165"/>
        <v>0</v>
      </c>
      <c r="Y491" s="71">
        <f t="shared" ca="1" si="166"/>
        <v>0</v>
      </c>
      <c r="Z491" s="71">
        <f t="shared" ca="1" si="174"/>
        <v>0</v>
      </c>
      <c r="AA491" s="71">
        <f t="shared" ca="1" si="167"/>
        <v>0</v>
      </c>
      <c r="AB491" s="71">
        <f t="shared" ca="1" si="168"/>
        <v>0</v>
      </c>
      <c r="AC491" s="71">
        <f t="shared" ca="1" si="175"/>
        <v>0</v>
      </c>
      <c r="AD491" s="71">
        <f t="shared" ca="1" si="169"/>
        <v>0</v>
      </c>
      <c r="AE491" s="72">
        <f t="shared" si="170"/>
        <v>0</v>
      </c>
      <c r="AF491" s="73">
        <f>IF(A491&gt;入力設定!$B$6*12,0,IF(AND(ISNUMBER(C491),C491&gt;=0,C491&lt;=1),0,1))</f>
        <v>0</v>
      </c>
    </row>
    <row r="492" spans="1:32" ht="21" customHeight="1">
      <c r="A492" s="68">
        <f>487</f>
        <v>487</v>
      </c>
      <c r="B492" s="69">
        <f>EDATE(入力設定!$B$7,A492-1)</f>
        <v>61118</v>
      </c>
      <c r="C492" s="80">
        <f>INDEX(入力設定!$C$15:$C$24,INT((A492-1)/60)+1)</f>
        <v>0.05</v>
      </c>
      <c r="D492" s="70">
        <f t="shared" ca="1" si="171"/>
        <v>0</v>
      </c>
      <c r="E492" s="70">
        <f t="shared" ca="1" si="172"/>
        <v>0</v>
      </c>
      <c r="F492" s="70">
        <f ca="1">IF(D492+Z492&lt;0.000001,0,IF(D492&lt;0.000001,F491,IF(OR(AE492=1,AND(K491&gt;0,入力設定!$B$8="返済額軽減型",入力設定!$B$11="翌月")),IF(C492=0,D492/MAX(1,E492),D492*(C492/12)/(1-(1+C492/12)^(-MAX(1,E492)))),F491)))</f>
        <v>0</v>
      </c>
      <c r="G492" s="70">
        <f t="shared" ca="1" si="154"/>
        <v>0</v>
      </c>
      <c r="H492" s="70">
        <f t="shared" ca="1" si="155"/>
        <v>0</v>
      </c>
      <c r="I492" s="70">
        <f t="shared" ca="1" si="156"/>
        <v>0</v>
      </c>
      <c r="J492" s="70">
        <f>SUMIFS(入力設定!$G$5:$G$24,入力設定!$F$5:$F$24,A492)</f>
        <v>0</v>
      </c>
      <c r="K492" s="70">
        <f t="shared" ca="1" si="157"/>
        <v>0</v>
      </c>
      <c r="L492" s="70">
        <f ca="1">IF(K492&gt;0,入力設定!$B$9,0)</f>
        <v>0</v>
      </c>
      <c r="M492" s="70">
        <f t="shared" ca="1" si="158"/>
        <v>0</v>
      </c>
      <c r="N492" s="70">
        <f ca="1">IF(M492+AA492&lt;0.000001,0,IF(AND(K492&gt;0,入力設定!$B$8="期間短縮型",AA492&lt;0.000001,F492&gt;M492*C492/12),MAX(1,MIN(E492-1,IF(C492=0,ROUNDUP(M492/F492,0),ROUNDUP(-LN(1-M492*(C492/12)/F492)/LN(1+C492/12),0)))),MAX(1,E492-1)))</f>
        <v>0</v>
      </c>
      <c r="O492" s="70">
        <f t="shared" ca="1" si="159"/>
        <v>0</v>
      </c>
      <c r="P492" s="70">
        <f t="shared" ca="1" si="173"/>
        <v>0</v>
      </c>
      <c r="Q492" s="70">
        <f ca="1">IF(OR(A492&gt;入力設定!$B$6*12,P492+AC492&lt;0.000001),0,IF(P492&lt;0.000001,Q491,IF(AE492=1,IF(C492=0,P492/MAX(1,入力設定!$B$6*12-A492+1),P492*(C492/12)/(1-(1+C492/12)^(-MAX(1,入力設定!$B$6*12-A492+1)))),Q491)))</f>
        <v>0</v>
      </c>
      <c r="R492" s="70">
        <f ca="1">IF(P492+AC492&lt;0.000001,0,IF(A492=入力設定!$B$6*12,P492+AB492+AC492,MIN(Q492,P492+AB492+AC492)))</f>
        <v>0</v>
      </c>
      <c r="S492" s="70">
        <f t="shared" ca="1" si="160"/>
        <v>0</v>
      </c>
      <c r="T492" s="70">
        <f t="shared" ca="1" si="161"/>
        <v>0</v>
      </c>
      <c r="U492" s="70">
        <f t="shared" ca="1" si="162"/>
        <v>0</v>
      </c>
      <c r="V492" s="70">
        <f t="shared" ca="1" si="163"/>
        <v>0</v>
      </c>
      <c r="W492" s="70">
        <f t="shared" ca="1" si="164"/>
        <v>0</v>
      </c>
      <c r="X492" s="70">
        <f t="shared" ca="1" si="165"/>
        <v>0</v>
      </c>
      <c r="Y492" s="71">
        <f t="shared" ca="1" si="166"/>
        <v>0</v>
      </c>
      <c r="Z492" s="71">
        <f t="shared" ca="1" si="174"/>
        <v>0</v>
      </c>
      <c r="AA492" s="71">
        <f t="shared" ca="1" si="167"/>
        <v>0</v>
      </c>
      <c r="AB492" s="71">
        <f t="shared" ca="1" si="168"/>
        <v>0</v>
      </c>
      <c r="AC492" s="71">
        <f t="shared" ca="1" si="175"/>
        <v>0</v>
      </c>
      <c r="AD492" s="71">
        <f t="shared" ca="1" si="169"/>
        <v>0</v>
      </c>
      <c r="AE492" s="72">
        <f t="shared" si="170"/>
        <v>0</v>
      </c>
      <c r="AF492" s="73">
        <f>IF(A492&gt;入力設定!$B$6*12,0,IF(AND(ISNUMBER(C492),C492&gt;=0,C492&lt;=1),0,1))</f>
        <v>0</v>
      </c>
    </row>
    <row r="493" spans="1:32" ht="21" customHeight="1">
      <c r="A493" s="68">
        <f>488</f>
        <v>488</v>
      </c>
      <c r="B493" s="69">
        <f>EDATE(入力設定!$B$7,A493-1)</f>
        <v>61149</v>
      </c>
      <c r="C493" s="80">
        <f>INDEX(入力設定!$C$15:$C$24,INT((A493-1)/60)+1)</f>
        <v>0.05</v>
      </c>
      <c r="D493" s="70">
        <f t="shared" ca="1" si="171"/>
        <v>0</v>
      </c>
      <c r="E493" s="70">
        <f t="shared" ca="1" si="172"/>
        <v>0</v>
      </c>
      <c r="F493" s="70">
        <f ca="1">IF(D493+Z493&lt;0.000001,0,IF(D493&lt;0.000001,F492,IF(OR(AE493=1,AND(K492&gt;0,入力設定!$B$8="返済額軽減型",入力設定!$B$11="翌月")),IF(C493=0,D493/MAX(1,E493),D493*(C493/12)/(1-(1+C493/12)^(-MAX(1,E493)))),F492)))</f>
        <v>0</v>
      </c>
      <c r="G493" s="70">
        <f t="shared" ca="1" si="154"/>
        <v>0</v>
      </c>
      <c r="H493" s="70">
        <f t="shared" ca="1" si="155"/>
        <v>0</v>
      </c>
      <c r="I493" s="70">
        <f t="shared" ca="1" si="156"/>
        <v>0</v>
      </c>
      <c r="J493" s="70">
        <f>SUMIFS(入力設定!$G$5:$G$24,入力設定!$F$5:$F$24,A493)</f>
        <v>0</v>
      </c>
      <c r="K493" s="70">
        <f t="shared" ca="1" si="157"/>
        <v>0</v>
      </c>
      <c r="L493" s="70">
        <f ca="1">IF(K493&gt;0,入力設定!$B$9,0)</f>
        <v>0</v>
      </c>
      <c r="M493" s="70">
        <f t="shared" ca="1" si="158"/>
        <v>0</v>
      </c>
      <c r="N493" s="70">
        <f ca="1">IF(M493+AA493&lt;0.000001,0,IF(AND(K493&gt;0,入力設定!$B$8="期間短縮型",AA493&lt;0.000001,F493&gt;M493*C493/12),MAX(1,MIN(E493-1,IF(C493=0,ROUNDUP(M493/F493,0),ROUNDUP(-LN(1-M493*(C493/12)/F493)/LN(1+C493/12),0)))),MAX(1,E493-1)))</f>
        <v>0</v>
      </c>
      <c r="O493" s="70">
        <f t="shared" ca="1" si="159"/>
        <v>0</v>
      </c>
      <c r="P493" s="70">
        <f t="shared" ca="1" si="173"/>
        <v>0</v>
      </c>
      <c r="Q493" s="70">
        <f ca="1">IF(OR(A493&gt;入力設定!$B$6*12,P493+AC493&lt;0.000001),0,IF(P493&lt;0.000001,Q492,IF(AE493=1,IF(C493=0,P493/MAX(1,入力設定!$B$6*12-A493+1),P493*(C493/12)/(1-(1+C493/12)^(-MAX(1,入力設定!$B$6*12-A493+1)))),Q492)))</f>
        <v>0</v>
      </c>
      <c r="R493" s="70">
        <f ca="1">IF(P493+AC493&lt;0.000001,0,IF(A493=入力設定!$B$6*12,P493+AB493+AC493,MIN(Q493,P493+AB493+AC493)))</f>
        <v>0</v>
      </c>
      <c r="S493" s="70">
        <f t="shared" ca="1" si="160"/>
        <v>0</v>
      </c>
      <c r="T493" s="70">
        <f t="shared" ca="1" si="161"/>
        <v>0</v>
      </c>
      <c r="U493" s="70">
        <f t="shared" ca="1" si="162"/>
        <v>0</v>
      </c>
      <c r="V493" s="70">
        <f t="shared" ca="1" si="163"/>
        <v>0</v>
      </c>
      <c r="W493" s="70">
        <f t="shared" ca="1" si="164"/>
        <v>0</v>
      </c>
      <c r="X493" s="70">
        <f t="shared" ca="1" si="165"/>
        <v>0</v>
      </c>
      <c r="Y493" s="71">
        <f t="shared" ca="1" si="166"/>
        <v>0</v>
      </c>
      <c r="Z493" s="71">
        <f t="shared" ca="1" si="174"/>
        <v>0</v>
      </c>
      <c r="AA493" s="71">
        <f t="shared" ca="1" si="167"/>
        <v>0</v>
      </c>
      <c r="AB493" s="71">
        <f t="shared" ca="1" si="168"/>
        <v>0</v>
      </c>
      <c r="AC493" s="71">
        <f t="shared" ca="1" si="175"/>
        <v>0</v>
      </c>
      <c r="AD493" s="71">
        <f t="shared" ca="1" si="169"/>
        <v>0</v>
      </c>
      <c r="AE493" s="72">
        <f t="shared" si="170"/>
        <v>0</v>
      </c>
      <c r="AF493" s="73">
        <f>IF(A493&gt;入力設定!$B$6*12,0,IF(AND(ISNUMBER(C493),C493&gt;=0,C493&lt;=1),0,1))</f>
        <v>0</v>
      </c>
    </row>
    <row r="494" spans="1:32" ht="21" customHeight="1">
      <c r="A494" s="68">
        <f>489</f>
        <v>489</v>
      </c>
      <c r="B494" s="69">
        <f>EDATE(入力設定!$B$7,A494-1)</f>
        <v>61179</v>
      </c>
      <c r="C494" s="80">
        <f>INDEX(入力設定!$C$15:$C$24,INT((A494-1)/60)+1)</f>
        <v>0.05</v>
      </c>
      <c r="D494" s="70">
        <f t="shared" ca="1" si="171"/>
        <v>0</v>
      </c>
      <c r="E494" s="70">
        <f t="shared" ca="1" si="172"/>
        <v>0</v>
      </c>
      <c r="F494" s="70">
        <f ca="1">IF(D494+Z494&lt;0.000001,0,IF(D494&lt;0.000001,F493,IF(OR(AE494=1,AND(K493&gt;0,入力設定!$B$8="返済額軽減型",入力設定!$B$11="翌月")),IF(C494=0,D494/MAX(1,E494),D494*(C494/12)/(1-(1+C494/12)^(-MAX(1,E494)))),F493)))</f>
        <v>0</v>
      </c>
      <c r="G494" s="70">
        <f t="shared" ca="1" si="154"/>
        <v>0</v>
      </c>
      <c r="H494" s="70">
        <f t="shared" ca="1" si="155"/>
        <v>0</v>
      </c>
      <c r="I494" s="70">
        <f t="shared" ca="1" si="156"/>
        <v>0</v>
      </c>
      <c r="J494" s="70">
        <f>SUMIFS(入力設定!$G$5:$G$24,入力設定!$F$5:$F$24,A494)</f>
        <v>0</v>
      </c>
      <c r="K494" s="70">
        <f t="shared" ca="1" si="157"/>
        <v>0</v>
      </c>
      <c r="L494" s="70">
        <f ca="1">IF(K494&gt;0,入力設定!$B$9,0)</f>
        <v>0</v>
      </c>
      <c r="M494" s="70">
        <f t="shared" ca="1" si="158"/>
        <v>0</v>
      </c>
      <c r="N494" s="70">
        <f ca="1">IF(M494+AA494&lt;0.000001,0,IF(AND(K494&gt;0,入力設定!$B$8="期間短縮型",AA494&lt;0.000001,F494&gt;M494*C494/12),MAX(1,MIN(E494-1,IF(C494=0,ROUNDUP(M494/F494,0),ROUNDUP(-LN(1-M494*(C494/12)/F494)/LN(1+C494/12),0)))),MAX(1,E494-1)))</f>
        <v>0</v>
      </c>
      <c r="O494" s="70">
        <f t="shared" ca="1" si="159"/>
        <v>0</v>
      </c>
      <c r="P494" s="70">
        <f t="shared" ca="1" si="173"/>
        <v>0</v>
      </c>
      <c r="Q494" s="70">
        <f ca="1">IF(OR(A494&gt;入力設定!$B$6*12,P494+AC494&lt;0.000001),0,IF(P494&lt;0.000001,Q493,IF(AE494=1,IF(C494=0,P494/MAX(1,入力設定!$B$6*12-A494+1),P494*(C494/12)/(1-(1+C494/12)^(-MAX(1,入力設定!$B$6*12-A494+1)))),Q493)))</f>
        <v>0</v>
      </c>
      <c r="R494" s="70">
        <f ca="1">IF(P494+AC494&lt;0.000001,0,IF(A494=入力設定!$B$6*12,P494+AB494+AC494,MIN(Q494,P494+AB494+AC494)))</f>
        <v>0</v>
      </c>
      <c r="S494" s="70">
        <f t="shared" ca="1" si="160"/>
        <v>0</v>
      </c>
      <c r="T494" s="70">
        <f t="shared" ca="1" si="161"/>
        <v>0</v>
      </c>
      <c r="U494" s="70">
        <f t="shared" ca="1" si="162"/>
        <v>0</v>
      </c>
      <c r="V494" s="70">
        <f t="shared" ca="1" si="163"/>
        <v>0</v>
      </c>
      <c r="W494" s="70">
        <f t="shared" ca="1" si="164"/>
        <v>0</v>
      </c>
      <c r="X494" s="70">
        <f t="shared" ca="1" si="165"/>
        <v>0</v>
      </c>
      <c r="Y494" s="71">
        <f t="shared" ca="1" si="166"/>
        <v>0</v>
      </c>
      <c r="Z494" s="71">
        <f t="shared" ca="1" si="174"/>
        <v>0</v>
      </c>
      <c r="AA494" s="71">
        <f t="shared" ca="1" si="167"/>
        <v>0</v>
      </c>
      <c r="AB494" s="71">
        <f t="shared" ca="1" si="168"/>
        <v>0</v>
      </c>
      <c r="AC494" s="71">
        <f t="shared" ca="1" si="175"/>
        <v>0</v>
      </c>
      <c r="AD494" s="71">
        <f t="shared" ca="1" si="169"/>
        <v>0</v>
      </c>
      <c r="AE494" s="72">
        <f t="shared" si="170"/>
        <v>0</v>
      </c>
      <c r="AF494" s="73">
        <f>IF(A494&gt;入力設定!$B$6*12,0,IF(AND(ISNUMBER(C494),C494&gt;=0,C494&lt;=1),0,1))</f>
        <v>0</v>
      </c>
    </row>
    <row r="495" spans="1:32" ht="21" customHeight="1">
      <c r="A495" s="68">
        <f>490</f>
        <v>490</v>
      </c>
      <c r="B495" s="69">
        <f>EDATE(入力設定!$B$7,A495-1)</f>
        <v>61210</v>
      </c>
      <c r="C495" s="80">
        <f>INDEX(入力設定!$C$15:$C$24,INT((A495-1)/60)+1)</f>
        <v>0.05</v>
      </c>
      <c r="D495" s="70">
        <f t="shared" ca="1" si="171"/>
        <v>0</v>
      </c>
      <c r="E495" s="70">
        <f t="shared" ca="1" si="172"/>
        <v>0</v>
      </c>
      <c r="F495" s="70">
        <f ca="1">IF(D495+Z495&lt;0.000001,0,IF(D495&lt;0.000001,F494,IF(OR(AE495=1,AND(K494&gt;0,入力設定!$B$8="返済額軽減型",入力設定!$B$11="翌月")),IF(C495=0,D495/MAX(1,E495),D495*(C495/12)/(1-(1+C495/12)^(-MAX(1,E495)))),F494)))</f>
        <v>0</v>
      </c>
      <c r="G495" s="70">
        <f t="shared" ca="1" si="154"/>
        <v>0</v>
      </c>
      <c r="H495" s="70">
        <f t="shared" ca="1" si="155"/>
        <v>0</v>
      </c>
      <c r="I495" s="70">
        <f t="shared" ca="1" si="156"/>
        <v>0</v>
      </c>
      <c r="J495" s="70">
        <f>SUMIFS(入力設定!$G$5:$G$24,入力設定!$F$5:$F$24,A495)</f>
        <v>0</v>
      </c>
      <c r="K495" s="70">
        <f t="shared" ca="1" si="157"/>
        <v>0</v>
      </c>
      <c r="L495" s="70">
        <f ca="1">IF(K495&gt;0,入力設定!$B$9,0)</f>
        <v>0</v>
      </c>
      <c r="M495" s="70">
        <f t="shared" ca="1" si="158"/>
        <v>0</v>
      </c>
      <c r="N495" s="70">
        <f ca="1">IF(M495+AA495&lt;0.000001,0,IF(AND(K495&gt;0,入力設定!$B$8="期間短縮型",AA495&lt;0.000001,F495&gt;M495*C495/12),MAX(1,MIN(E495-1,IF(C495=0,ROUNDUP(M495/F495,0),ROUNDUP(-LN(1-M495*(C495/12)/F495)/LN(1+C495/12),0)))),MAX(1,E495-1)))</f>
        <v>0</v>
      </c>
      <c r="O495" s="70">
        <f t="shared" ca="1" si="159"/>
        <v>0</v>
      </c>
      <c r="P495" s="70">
        <f t="shared" ca="1" si="173"/>
        <v>0</v>
      </c>
      <c r="Q495" s="70">
        <f ca="1">IF(OR(A495&gt;入力設定!$B$6*12,P495+AC495&lt;0.000001),0,IF(P495&lt;0.000001,Q494,IF(AE495=1,IF(C495=0,P495/MAX(1,入力設定!$B$6*12-A495+1),P495*(C495/12)/(1-(1+C495/12)^(-MAX(1,入力設定!$B$6*12-A495+1)))),Q494)))</f>
        <v>0</v>
      </c>
      <c r="R495" s="70">
        <f ca="1">IF(P495+AC495&lt;0.000001,0,IF(A495=入力設定!$B$6*12,P495+AB495+AC495,MIN(Q495,P495+AB495+AC495)))</f>
        <v>0</v>
      </c>
      <c r="S495" s="70">
        <f t="shared" ca="1" si="160"/>
        <v>0</v>
      </c>
      <c r="T495" s="70">
        <f t="shared" ca="1" si="161"/>
        <v>0</v>
      </c>
      <c r="U495" s="70">
        <f t="shared" ca="1" si="162"/>
        <v>0</v>
      </c>
      <c r="V495" s="70">
        <f t="shared" ca="1" si="163"/>
        <v>0</v>
      </c>
      <c r="W495" s="70">
        <f t="shared" ca="1" si="164"/>
        <v>0</v>
      </c>
      <c r="X495" s="70">
        <f t="shared" ca="1" si="165"/>
        <v>0</v>
      </c>
      <c r="Y495" s="71">
        <f t="shared" ca="1" si="166"/>
        <v>0</v>
      </c>
      <c r="Z495" s="71">
        <f t="shared" ca="1" si="174"/>
        <v>0</v>
      </c>
      <c r="AA495" s="71">
        <f t="shared" ca="1" si="167"/>
        <v>0</v>
      </c>
      <c r="AB495" s="71">
        <f t="shared" ca="1" si="168"/>
        <v>0</v>
      </c>
      <c r="AC495" s="71">
        <f t="shared" ca="1" si="175"/>
        <v>0</v>
      </c>
      <c r="AD495" s="71">
        <f t="shared" ca="1" si="169"/>
        <v>0</v>
      </c>
      <c r="AE495" s="72">
        <f t="shared" si="170"/>
        <v>0</v>
      </c>
      <c r="AF495" s="73">
        <f>IF(A495&gt;入力設定!$B$6*12,0,IF(AND(ISNUMBER(C495),C495&gt;=0,C495&lt;=1),0,1))</f>
        <v>0</v>
      </c>
    </row>
    <row r="496" spans="1:32" ht="21" customHeight="1">
      <c r="A496" s="68">
        <f>491</f>
        <v>491</v>
      </c>
      <c r="B496" s="69">
        <f>EDATE(入力設定!$B$7,A496-1)</f>
        <v>61241</v>
      </c>
      <c r="C496" s="80">
        <f>INDEX(入力設定!$C$15:$C$24,INT((A496-1)/60)+1)</f>
        <v>0.05</v>
      </c>
      <c r="D496" s="70">
        <f t="shared" ca="1" si="171"/>
        <v>0</v>
      </c>
      <c r="E496" s="70">
        <f t="shared" ca="1" si="172"/>
        <v>0</v>
      </c>
      <c r="F496" s="70">
        <f ca="1">IF(D496+Z496&lt;0.000001,0,IF(D496&lt;0.000001,F495,IF(OR(AE496=1,AND(K495&gt;0,入力設定!$B$8="返済額軽減型",入力設定!$B$11="翌月")),IF(C496=0,D496/MAX(1,E496),D496*(C496/12)/(1-(1+C496/12)^(-MAX(1,E496)))),F495)))</f>
        <v>0</v>
      </c>
      <c r="G496" s="70">
        <f t="shared" ca="1" si="154"/>
        <v>0</v>
      </c>
      <c r="H496" s="70">
        <f t="shared" ca="1" si="155"/>
        <v>0</v>
      </c>
      <c r="I496" s="70">
        <f t="shared" ca="1" si="156"/>
        <v>0</v>
      </c>
      <c r="J496" s="70">
        <f>SUMIFS(入力設定!$G$5:$G$24,入力設定!$F$5:$F$24,A496)</f>
        <v>0</v>
      </c>
      <c r="K496" s="70">
        <f t="shared" ca="1" si="157"/>
        <v>0</v>
      </c>
      <c r="L496" s="70">
        <f ca="1">IF(K496&gt;0,入力設定!$B$9,0)</f>
        <v>0</v>
      </c>
      <c r="M496" s="70">
        <f t="shared" ca="1" si="158"/>
        <v>0</v>
      </c>
      <c r="N496" s="70">
        <f ca="1">IF(M496+AA496&lt;0.000001,0,IF(AND(K496&gt;0,入力設定!$B$8="期間短縮型",AA496&lt;0.000001,F496&gt;M496*C496/12),MAX(1,MIN(E496-1,IF(C496=0,ROUNDUP(M496/F496,0),ROUNDUP(-LN(1-M496*(C496/12)/F496)/LN(1+C496/12),0)))),MAX(1,E496-1)))</f>
        <v>0</v>
      </c>
      <c r="O496" s="70">
        <f t="shared" ca="1" si="159"/>
        <v>0</v>
      </c>
      <c r="P496" s="70">
        <f t="shared" ca="1" si="173"/>
        <v>0</v>
      </c>
      <c r="Q496" s="70">
        <f ca="1">IF(OR(A496&gt;入力設定!$B$6*12,P496+AC496&lt;0.000001),0,IF(P496&lt;0.000001,Q495,IF(AE496=1,IF(C496=0,P496/MAX(1,入力設定!$B$6*12-A496+1),P496*(C496/12)/(1-(1+C496/12)^(-MAX(1,入力設定!$B$6*12-A496+1)))),Q495)))</f>
        <v>0</v>
      </c>
      <c r="R496" s="70">
        <f ca="1">IF(P496+AC496&lt;0.000001,0,IF(A496=入力設定!$B$6*12,P496+AB496+AC496,MIN(Q496,P496+AB496+AC496)))</f>
        <v>0</v>
      </c>
      <c r="S496" s="70">
        <f t="shared" ca="1" si="160"/>
        <v>0</v>
      </c>
      <c r="T496" s="70">
        <f t="shared" ca="1" si="161"/>
        <v>0</v>
      </c>
      <c r="U496" s="70">
        <f t="shared" ca="1" si="162"/>
        <v>0</v>
      </c>
      <c r="V496" s="70">
        <f t="shared" ca="1" si="163"/>
        <v>0</v>
      </c>
      <c r="W496" s="70">
        <f t="shared" ca="1" si="164"/>
        <v>0</v>
      </c>
      <c r="X496" s="70">
        <f t="shared" ca="1" si="165"/>
        <v>0</v>
      </c>
      <c r="Y496" s="71">
        <f t="shared" ca="1" si="166"/>
        <v>0</v>
      </c>
      <c r="Z496" s="71">
        <f t="shared" ca="1" si="174"/>
        <v>0</v>
      </c>
      <c r="AA496" s="71">
        <f t="shared" ca="1" si="167"/>
        <v>0</v>
      </c>
      <c r="AB496" s="71">
        <f t="shared" ca="1" si="168"/>
        <v>0</v>
      </c>
      <c r="AC496" s="71">
        <f t="shared" ca="1" si="175"/>
        <v>0</v>
      </c>
      <c r="AD496" s="71">
        <f t="shared" ca="1" si="169"/>
        <v>0</v>
      </c>
      <c r="AE496" s="72">
        <f t="shared" si="170"/>
        <v>0</v>
      </c>
      <c r="AF496" s="73">
        <f>IF(A496&gt;入力設定!$B$6*12,0,IF(AND(ISNUMBER(C496),C496&gt;=0,C496&lt;=1),0,1))</f>
        <v>0</v>
      </c>
    </row>
    <row r="497" spans="1:32" ht="21" customHeight="1">
      <c r="A497" s="68">
        <f>492</f>
        <v>492</v>
      </c>
      <c r="B497" s="69">
        <f>EDATE(入力設定!$B$7,A497-1)</f>
        <v>61271</v>
      </c>
      <c r="C497" s="80">
        <f>INDEX(入力設定!$C$15:$C$24,INT((A497-1)/60)+1)</f>
        <v>0.05</v>
      </c>
      <c r="D497" s="70">
        <f t="shared" ca="1" si="171"/>
        <v>0</v>
      </c>
      <c r="E497" s="70">
        <f t="shared" ca="1" si="172"/>
        <v>0</v>
      </c>
      <c r="F497" s="70">
        <f ca="1">IF(D497+Z497&lt;0.000001,0,IF(D497&lt;0.000001,F496,IF(OR(AE497=1,AND(K496&gt;0,入力設定!$B$8="返済額軽減型",入力設定!$B$11="翌月")),IF(C497=0,D497/MAX(1,E497),D497*(C497/12)/(1-(1+C497/12)^(-MAX(1,E497)))),F496)))</f>
        <v>0</v>
      </c>
      <c r="G497" s="70">
        <f t="shared" ca="1" si="154"/>
        <v>0</v>
      </c>
      <c r="H497" s="70">
        <f t="shared" ca="1" si="155"/>
        <v>0</v>
      </c>
      <c r="I497" s="70">
        <f t="shared" ca="1" si="156"/>
        <v>0</v>
      </c>
      <c r="J497" s="70">
        <f>SUMIFS(入力設定!$G$5:$G$24,入力設定!$F$5:$F$24,A497)</f>
        <v>0</v>
      </c>
      <c r="K497" s="70">
        <f t="shared" ca="1" si="157"/>
        <v>0</v>
      </c>
      <c r="L497" s="70">
        <f ca="1">IF(K497&gt;0,入力設定!$B$9,0)</f>
        <v>0</v>
      </c>
      <c r="M497" s="70">
        <f t="shared" ca="1" si="158"/>
        <v>0</v>
      </c>
      <c r="N497" s="70">
        <f ca="1">IF(M497+AA497&lt;0.000001,0,IF(AND(K497&gt;0,入力設定!$B$8="期間短縮型",AA497&lt;0.000001,F497&gt;M497*C497/12),MAX(1,MIN(E497-1,IF(C497=0,ROUNDUP(M497/F497,0),ROUNDUP(-LN(1-M497*(C497/12)/F497)/LN(1+C497/12),0)))),MAX(1,E497-1)))</f>
        <v>0</v>
      </c>
      <c r="O497" s="70">
        <f t="shared" ca="1" si="159"/>
        <v>0</v>
      </c>
      <c r="P497" s="70">
        <f t="shared" ca="1" si="173"/>
        <v>0</v>
      </c>
      <c r="Q497" s="70">
        <f ca="1">IF(OR(A497&gt;入力設定!$B$6*12,P497+AC497&lt;0.000001),0,IF(P497&lt;0.000001,Q496,IF(AE497=1,IF(C497=0,P497/MAX(1,入力設定!$B$6*12-A497+1),P497*(C497/12)/(1-(1+C497/12)^(-MAX(1,入力設定!$B$6*12-A497+1)))),Q496)))</f>
        <v>0</v>
      </c>
      <c r="R497" s="70">
        <f ca="1">IF(P497+AC497&lt;0.000001,0,IF(A497=入力設定!$B$6*12,P497+AB497+AC497,MIN(Q497,P497+AB497+AC497)))</f>
        <v>0</v>
      </c>
      <c r="S497" s="70">
        <f t="shared" ca="1" si="160"/>
        <v>0</v>
      </c>
      <c r="T497" s="70">
        <f t="shared" ca="1" si="161"/>
        <v>0</v>
      </c>
      <c r="U497" s="70">
        <f t="shared" ca="1" si="162"/>
        <v>0</v>
      </c>
      <c r="V497" s="70">
        <f t="shared" ca="1" si="163"/>
        <v>0</v>
      </c>
      <c r="W497" s="70">
        <f t="shared" ca="1" si="164"/>
        <v>0</v>
      </c>
      <c r="X497" s="70">
        <f t="shared" ca="1" si="165"/>
        <v>0</v>
      </c>
      <c r="Y497" s="71">
        <f t="shared" ca="1" si="166"/>
        <v>0</v>
      </c>
      <c r="Z497" s="71">
        <f t="shared" ca="1" si="174"/>
        <v>0</v>
      </c>
      <c r="AA497" s="71">
        <f t="shared" ca="1" si="167"/>
        <v>0</v>
      </c>
      <c r="AB497" s="71">
        <f t="shared" ca="1" si="168"/>
        <v>0</v>
      </c>
      <c r="AC497" s="71">
        <f t="shared" ca="1" si="175"/>
        <v>0</v>
      </c>
      <c r="AD497" s="71">
        <f t="shared" ca="1" si="169"/>
        <v>0</v>
      </c>
      <c r="AE497" s="72">
        <f t="shared" si="170"/>
        <v>0</v>
      </c>
      <c r="AF497" s="73">
        <f>IF(A497&gt;入力設定!$B$6*12,0,IF(AND(ISNUMBER(C497),C497&gt;=0,C497&lt;=1),0,1))</f>
        <v>0</v>
      </c>
    </row>
    <row r="498" spans="1:32" ht="21" customHeight="1">
      <c r="A498" s="68">
        <f>493</f>
        <v>493</v>
      </c>
      <c r="B498" s="69">
        <f>EDATE(入力設定!$B$7,A498-1)</f>
        <v>61302</v>
      </c>
      <c r="C498" s="80">
        <f>INDEX(入力設定!$C$15:$C$24,INT((A498-1)/60)+1)</f>
        <v>0.05</v>
      </c>
      <c r="D498" s="70">
        <f t="shared" ca="1" si="171"/>
        <v>0</v>
      </c>
      <c r="E498" s="70">
        <f t="shared" ca="1" si="172"/>
        <v>0</v>
      </c>
      <c r="F498" s="70">
        <f ca="1">IF(D498+Z498&lt;0.000001,0,IF(D498&lt;0.000001,F497,IF(OR(AE498=1,AND(K497&gt;0,入力設定!$B$8="返済額軽減型",入力設定!$B$11="翌月")),IF(C498=0,D498/MAX(1,E498),D498*(C498/12)/(1-(1+C498/12)^(-MAX(1,E498)))),F497)))</f>
        <v>0</v>
      </c>
      <c r="G498" s="70">
        <f t="shared" ca="1" si="154"/>
        <v>0</v>
      </c>
      <c r="H498" s="70">
        <f t="shared" ca="1" si="155"/>
        <v>0</v>
      </c>
      <c r="I498" s="70">
        <f t="shared" ca="1" si="156"/>
        <v>0</v>
      </c>
      <c r="J498" s="70">
        <f>SUMIFS(入力設定!$G$5:$G$24,入力設定!$F$5:$F$24,A498)</f>
        <v>0</v>
      </c>
      <c r="K498" s="70">
        <f t="shared" ca="1" si="157"/>
        <v>0</v>
      </c>
      <c r="L498" s="70">
        <f ca="1">IF(K498&gt;0,入力設定!$B$9,0)</f>
        <v>0</v>
      </c>
      <c r="M498" s="70">
        <f t="shared" ca="1" si="158"/>
        <v>0</v>
      </c>
      <c r="N498" s="70">
        <f ca="1">IF(M498+AA498&lt;0.000001,0,IF(AND(K498&gt;0,入力設定!$B$8="期間短縮型",AA498&lt;0.000001,F498&gt;M498*C498/12),MAX(1,MIN(E498-1,IF(C498=0,ROUNDUP(M498/F498,0),ROUNDUP(-LN(1-M498*(C498/12)/F498)/LN(1+C498/12),0)))),MAX(1,E498-1)))</f>
        <v>0</v>
      </c>
      <c r="O498" s="70">
        <f t="shared" ca="1" si="159"/>
        <v>0</v>
      </c>
      <c r="P498" s="70">
        <f t="shared" ca="1" si="173"/>
        <v>0</v>
      </c>
      <c r="Q498" s="70">
        <f ca="1">IF(OR(A498&gt;入力設定!$B$6*12,P498+AC498&lt;0.000001),0,IF(P498&lt;0.000001,Q497,IF(AE498=1,IF(C498=0,P498/MAX(1,入力設定!$B$6*12-A498+1),P498*(C498/12)/(1-(1+C498/12)^(-MAX(1,入力設定!$B$6*12-A498+1)))),Q497)))</f>
        <v>0</v>
      </c>
      <c r="R498" s="70">
        <f ca="1">IF(P498+AC498&lt;0.000001,0,IF(A498=入力設定!$B$6*12,P498+AB498+AC498,MIN(Q498,P498+AB498+AC498)))</f>
        <v>0</v>
      </c>
      <c r="S498" s="70">
        <f t="shared" ca="1" si="160"/>
        <v>0</v>
      </c>
      <c r="T498" s="70">
        <f t="shared" ca="1" si="161"/>
        <v>0</v>
      </c>
      <c r="U498" s="70">
        <f t="shared" ca="1" si="162"/>
        <v>0</v>
      </c>
      <c r="V498" s="70">
        <f t="shared" ca="1" si="163"/>
        <v>0</v>
      </c>
      <c r="W498" s="70">
        <f t="shared" ca="1" si="164"/>
        <v>0</v>
      </c>
      <c r="X498" s="70">
        <f t="shared" ca="1" si="165"/>
        <v>0</v>
      </c>
      <c r="Y498" s="71">
        <f t="shared" ca="1" si="166"/>
        <v>0</v>
      </c>
      <c r="Z498" s="71">
        <f t="shared" ca="1" si="174"/>
        <v>0</v>
      </c>
      <c r="AA498" s="71">
        <f t="shared" ca="1" si="167"/>
        <v>0</v>
      </c>
      <c r="AB498" s="71">
        <f t="shared" ca="1" si="168"/>
        <v>0</v>
      </c>
      <c r="AC498" s="71">
        <f t="shared" ca="1" si="175"/>
        <v>0</v>
      </c>
      <c r="AD498" s="71">
        <f t="shared" ca="1" si="169"/>
        <v>0</v>
      </c>
      <c r="AE498" s="72">
        <f t="shared" si="170"/>
        <v>0</v>
      </c>
      <c r="AF498" s="73">
        <f>IF(A498&gt;入力設定!$B$6*12,0,IF(AND(ISNUMBER(C498),C498&gt;=0,C498&lt;=1),0,1))</f>
        <v>0</v>
      </c>
    </row>
    <row r="499" spans="1:32" ht="21" customHeight="1">
      <c r="A499" s="68">
        <f>494</f>
        <v>494</v>
      </c>
      <c r="B499" s="69">
        <f>EDATE(入力設定!$B$7,A499-1)</f>
        <v>61332</v>
      </c>
      <c r="C499" s="80">
        <f>INDEX(入力設定!$C$15:$C$24,INT((A499-1)/60)+1)</f>
        <v>0.05</v>
      </c>
      <c r="D499" s="70">
        <f t="shared" ca="1" si="171"/>
        <v>0</v>
      </c>
      <c r="E499" s="70">
        <f t="shared" ca="1" si="172"/>
        <v>0</v>
      </c>
      <c r="F499" s="70">
        <f ca="1">IF(D499+Z499&lt;0.000001,0,IF(D499&lt;0.000001,F498,IF(OR(AE499=1,AND(K498&gt;0,入力設定!$B$8="返済額軽減型",入力設定!$B$11="翌月")),IF(C499=0,D499/MAX(1,E499),D499*(C499/12)/(1-(1+C499/12)^(-MAX(1,E499)))),F498)))</f>
        <v>0</v>
      </c>
      <c r="G499" s="70">
        <f t="shared" ca="1" si="154"/>
        <v>0</v>
      </c>
      <c r="H499" s="70">
        <f t="shared" ca="1" si="155"/>
        <v>0</v>
      </c>
      <c r="I499" s="70">
        <f t="shared" ca="1" si="156"/>
        <v>0</v>
      </c>
      <c r="J499" s="70">
        <f>SUMIFS(入力設定!$G$5:$G$24,入力設定!$F$5:$F$24,A499)</f>
        <v>0</v>
      </c>
      <c r="K499" s="70">
        <f t="shared" ca="1" si="157"/>
        <v>0</v>
      </c>
      <c r="L499" s="70">
        <f ca="1">IF(K499&gt;0,入力設定!$B$9,0)</f>
        <v>0</v>
      </c>
      <c r="M499" s="70">
        <f t="shared" ca="1" si="158"/>
        <v>0</v>
      </c>
      <c r="N499" s="70">
        <f ca="1">IF(M499+AA499&lt;0.000001,0,IF(AND(K499&gt;0,入力設定!$B$8="期間短縮型",AA499&lt;0.000001,F499&gt;M499*C499/12),MAX(1,MIN(E499-1,IF(C499=0,ROUNDUP(M499/F499,0),ROUNDUP(-LN(1-M499*(C499/12)/F499)/LN(1+C499/12),0)))),MAX(1,E499-1)))</f>
        <v>0</v>
      </c>
      <c r="O499" s="70">
        <f t="shared" ca="1" si="159"/>
        <v>0</v>
      </c>
      <c r="P499" s="70">
        <f t="shared" ca="1" si="173"/>
        <v>0</v>
      </c>
      <c r="Q499" s="70">
        <f ca="1">IF(OR(A499&gt;入力設定!$B$6*12,P499+AC499&lt;0.000001),0,IF(P499&lt;0.000001,Q498,IF(AE499=1,IF(C499=0,P499/MAX(1,入力設定!$B$6*12-A499+1),P499*(C499/12)/(1-(1+C499/12)^(-MAX(1,入力設定!$B$6*12-A499+1)))),Q498)))</f>
        <v>0</v>
      </c>
      <c r="R499" s="70">
        <f ca="1">IF(P499+AC499&lt;0.000001,0,IF(A499=入力設定!$B$6*12,P499+AB499+AC499,MIN(Q499,P499+AB499+AC499)))</f>
        <v>0</v>
      </c>
      <c r="S499" s="70">
        <f t="shared" ca="1" si="160"/>
        <v>0</v>
      </c>
      <c r="T499" s="70">
        <f t="shared" ca="1" si="161"/>
        <v>0</v>
      </c>
      <c r="U499" s="70">
        <f t="shared" ca="1" si="162"/>
        <v>0</v>
      </c>
      <c r="V499" s="70">
        <f t="shared" ca="1" si="163"/>
        <v>0</v>
      </c>
      <c r="W499" s="70">
        <f t="shared" ca="1" si="164"/>
        <v>0</v>
      </c>
      <c r="X499" s="70">
        <f t="shared" ca="1" si="165"/>
        <v>0</v>
      </c>
      <c r="Y499" s="71">
        <f t="shared" ca="1" si="166"/>
        <v>0</v>
      </c>
      <c r="Z499" s="71">
        <f t="shared" ca="1" si="174"/>
        <v>0</v>
      </c>
      <c r="AA499" s="71">
        <f t="shared" ca="1" si="167"/>
        <v>0</v>
      </c>
      <c r="AB499" s="71">
        <f t="shared" ca="1" si="168"/>
        <v>0</v>
      </c>
      <c r="AC499" s="71">
        <f t="shared" ca="1" si="175"/>
        <v>0</v>
      </c>
      <c r="AD499" s="71">
        <f t="shared" ca="1" si="169"/>
        <v>0</v>
      </c>
      <c r="AE499" s="72">
        <f t="shared" si="170"/>
        <v>0</v>
      </c>
      <c r="AF499" s="73">
        <f>IF(A499&gt;入力設定!$B$6*12,0,IF(AND(ISNUMBER(C499),C499&gt;=0,C499&lt;=1),0,1))</f>
        <v>0</v>
      </c>
    </row>
    <row r="500" spans="1:32" ht="21" customHeight="1">
      <c r="A500" s="68">
        <f>495</f>
        <v>495</v>
      </c>
      <c r="B500" s="69">
        <f>EDATE(入力設定!$B$7,A500-1)</f>
        <v>61363</v>
      </c>
      <c r="C500" s="80">
        <f>INDEX(入力設定!$C$15:$C$24,INT((A500-1)/60)+1)</f>
        <v>0.05</v>
      </c>
      <c r="D500" s="70">
        <f t="shared" ca="1" si="171"/>
        <v>0</v>
      </c>
      <c r="E500" s="70">
        <f t="shared" ca="1" si="172"/>
        <v>0</v>
      </c>
      <c r="F500" s="70">
        <f ca="1">IF(D500+Z500&lt;0.000001,0,IF(D500&lt;0.000001,F499,IF(OR(AE500=1,AND(K499&gt;0,入力設定!$B$8="返済額軽減型",入力設定!$B$11="翌月")),IF(C500=0,D500/MAX(1,E500),D500*(C500/12)/(1-(1+C500/12)^(-MAX(1,E500)))),F499)))</f>
        <v>0</v>
      </c>
      <c r="G500" s="70">
        <f t="shared" ca="1" si="154"/>
        <v>0</v>
      </c>
      <c r="H500" s="70">
        <f t="shared" ca="1" si="155"/>
        <v>0</v>
      </c>
      <c r="I500" s="70">
        <f t="shared" ca="1" si="156"/>
        <v>0</v>
      </c>
      <c r="J500" s="70">
        <f>SUMIFS(入力設定!$G$5:$G$24,入力設定!$F$5:$F$24,A500)</f>
        <v>0</v>
      </c>
      <c r="K500" s="70">
        <f t="shared" ca="1" si="157"/>
        <v>0</v>
      </c>
      <c r="L500" s="70">
        <f ca="1">IF(K500&gt;0,入力設定!$B$9,0)</f>
        <v>0</v>
      </c>
      <c r="M500" s="70">
        <f t="shared" ca="1" si="158"/>
        <v>0</v>
      </c>
      <c r="N500" s="70">
        <f ca="1">IF(M500+AA500&lt;0.000001,0,IF(AND(K500&gt;0,入力設定!$B$8="期間短縮型",AA500&lt;0.000001,F500&gt;M500*C500/12),MAX(1,MIN(E500-1,IF(C500=0,ROUNDUP(M500/F500,0),ROUNDUP(-LN(1-M500*(C500/12)/F500)/LN(1+C500/12),0)))),MAX(1,E500-1)))</f>
        <v>0</v>
      </c>
      <c r="O500" s="70">
        <f t="shared" ca="1" si="159"/>
        <v>0</v>
      </c>
      <c r="P500" s="70">
        <f t="shared" ca="1" si="173"/>
        <v>0</v>
      </c>
      <c r="Q500" s="70">
        <f ca="1">IF(OR(A500&gt;入力設定!$B$6*12,P500+AC500&lt;0.000001),0,IF(P500&lt;0.000001,Q499,IF(AE500=1,IF(C500=0,P500/MAX(1,入力設定!$B$6*12-A500+1),P500*(C500/12)/(1-(1+C500/12)^(-MAX(1,入力設定!$B$6*12-A500+1)))),Q499)))</f>
        <v>0</v>
      </c>
      <c r="R500" s="70">
        <f ca="1">IF(P500+AC500&lt;0.000001,0,IF(A500=入力設定!$B$6*12,P500+AB500+AC500,MIN(Q500,P500+AB500+AC500)))</f>
        <v>0</v>
      </c>
      <c r="S500" s="70">
        <f t="shared" ca="1" si="160"/>
        <v>0</v>
      </c>
      <c r="T500" s="70">
        <f t="shared" ca="1" si="161"/>
        <v>0</v>
      </c>
      <c r="U500" s="70">
        <f t="shared" ca="1" si="162"/>
        <v>0</v>
      </c>
      <c r="V500" s="70">
        <f t="shared" ca="1" si="163"/>
        <v>0</v>
      </c>
      <c r="W500" s="70">
        <f t="shared" ca="1" si="164"/>
        <v>0</v>
      </c>
      <c r="X500" s="70">
        <f t="shared" ca="1" si="165"/>
        <v>0</v>
      </c>
      <c r="Y500" s="71">
        <f t="shared" ca="1" si="166"/>
        <v>0</v>
      </c>
      <c r="Z500" s="71">
        <f t="shared" ca="1" si="174"/>
        <v>0</v>
      </c>
      <c r="AA500" s="71">
        <f t="shared" ca="1" si="167"/>
        <v>0</v>
      </c>
      <c r="AB500" s="71">
        <f t="shared" ca="1" si="168"/>
        <v>0</v>
      </c>
      <c r="AC500" s="71">
        <f t="shared" ca="1" si="175"/>
        <v>0</v>
      </c>
      <c r="AD500" s="71">
        <f t="shared" ca="1" si="169"/>
        <v>0</v>
      </c>
      <c r="AE500" s="72">
        <f t="shared" si="170"/>
        <v>0</v>
      </c>
      <c r="AF500" s="73">
        <f>IF(A500&gt;入力設定!$B$6*12,0,IF(AND(ISNUMBER(C500),C500&gt;=0,C500&lt;=1),0,1))</f>
        <v>0</v>
      </c>
    </row>
    <row r="501" spans="1:32" ht="21" customHeight="1">
      <c r="A501" s="68">
        <f>496</f>
        <v>496</v>
      </c>
      <c r="B501" s="69">
        <f>EDATE(入力設定!$B$7,A501-1)</f>
        <v>61394</v>
      </c>
      <c r="C501" s="80">
        <f>INDEX(入力設定!$C$15:$C$24,INT((A501-1)/60)+1)</f>
        <v>0.05</v>
      </c>
      <c r="D501" s="70">
        <f t="shared" ca="1" si="171"/>
        <v>0</v>
      </c>
      <c r="E501" s="70">
        <f t="shared" ca="1" si="172"/>
        <v>0</v>
      </c>
      <c r="F501" s="70">
        <f ca="1">IF(D501+Z501&lt;0.000001,0,IF(D501&lt;0.000001,F500,IF(OR(AE501=1,AND(K500&gt;0,入力設定!$B$8="返済額軽減型",入力設定!$B$11="翌月")),IF(C501=0,D501/MAX(1,E501),D501*(C501/12)/(1-(1+C501/12)^(-MAX(1,E501)))),F500)))</f>
        <v>0</v>
      </c>
      <c r="G501" s="70">
        <f t="shared" ca="1" si="154"/>
        <v>0</v>
      </c>
      <c r="H501" s="70">
        <f t="shared" ca="1" si="155"/>
        <v>0</v>
      </c>
      <c r="I501" s="70">
        <f t="shared" ca="1" si="156"/>
        <v>0</v>
      </c>
      <c r="J501" s="70">
        <f>SUMIFS(入力設定!$G$5:$G$24,入力設定!$F$5:$F$24,A501)</f>
        <v>0</v>
      </c>
      <c r="K501" s="70">
        <f t="shared" ca="1" si="157"/>
        <v>0</v>
      </c>
      <c r="L501" s="70">
        <f ca="1">IF(K501&gt;0,入力設定!$B$9,0)</f>
        <v>0</v>
      </c>
      <c r="M501" s="70">
        <f t="shared" ca="1" si="158"/>
        <v>0</v>
      </c>
      <c r="N501" s="70">
        <f ca="1">IF(M501+AA501&lt;0.000001,0,IF(AND(K501&gt;0,入力設定!$B$8="期間短縮型",AA501&lt;0.000001,F501&gt;M501*C501/12),MAX(1,MIN(E501-1,IF(C501=0,ROUNDUP(M501/F501,0),ROUNDUP(-LN(1-M501*(C501/12)/F501)/LN(1+C501/12),0)))),MAX(1,E501-1)))</f>
        <v>0</v>
      </c>
      <c r="O501" s="70">
        <f t="shared" ca="1" si="159"/>
        <v>0</v>
      </c>
      <c r="P501" s="70">
        <f t="shared" ca="1" si="173"/>
        <v>0</v>
      </c>
      <c r="Q501" s="70">
        <f ca="1">IF(OR(A501&gt;入力設定!$B$6*12,P501+AC501&lt;0.000001),0,IF(P501&lt;0.000001,Q500,IF(AE501=1,IF(C501=0,P501/MAX(1,入力設定!$B$6*12-A501+1),P501*(C501/12)/(1-(1+C501/12)^(-MAX(1,入力設定!$B$6*12-A501+1)))),Q500)))</f>
        <v>0</v>
      </c>
      <c r="R501" s="70">
        <f ca="1">IF(P501+AC501&lt;0.000001,0,IF(A501=入力設定!$B$6*12,P501+AB501+AC501,MIN(Q501,P501+AB501+AC501)))</f>
        <v>0</v>
      </c>
      <c r="S501" s="70">
        <f t="shared" ca="1" si="160"/>
        <v>0</v>
      </c>
      <c r="T501" s="70">
        <f t="shared" ca="1" si="161"/>
        <v>0</v>
      </c>
      <c r="U501" s="70">
        <f t="shared" ca="1" si="162"/>
        <v>0</v>
      </c>
      <c r="V501" s="70">
        <f t="shared" ca="1" si="163"/>
        <v>0</v>
      </c>
      <c r="W501" s="70">
        <f t="shared" ca="1" si="164"/>
        <v>0</v>
      </c>
      <c r="X501" s="70">
        <f t="shared" ca="1" si="165"/>
        <v>0</v>
      </c>
      <c r="Y501" s="71">
        <f t="shared" ca="1" si="166"/>
        <v>0</v>
      </c>
      <c r="Z501" s="71">
        <f t="shared" ca="1" si="174"/>
        <v>0</v>
      </c>
      <c r="AA501" s="71">
        <f t="shared" ca="1" si="167"/>
        <v>0</v>
      </c>
      <c r="AB501" s="71">
        <f t="shared" ca="1" si="168"/>
        <v>0</v>
      </c>
      <c r="AC501" s="71">
        <f t="shared" ca="1" si="175"/>
        <v>0</v>
      </c>
      <c r="AD501" s="71">
        <f t="shared" ca="1" si="169"/>
        <v>0</v>
      </c>
      <c r="AE501" s="72">
        <f t="shared" si="170"/>
        <v>0</v>
      </c>
      <c r="AF501" s="73">
        <f>IF(A501&gt;入力設定!$B$6*12,0,IF(AND(ISNUMBER(C501),C501&gt;=0,C501&lt;=1),0,1))</f>
        <v>0</v>
      </c>
    </row>
    <row r="502" spans="1:32" ht="21" customHeight="1">
      <c r="A502" s="68">
        <f>497</f>
        <v>497</v>
      </c>
      <c r="B502" s="69">
        <f>EDATE(入力設定!$B$7,A502-1)</f>
        <v>61423</v>
      </c>
      <c r="C502" s="80">
        <f>INDEX(入力設定!$C$15:$C$24,INT((A502-1)/60)+1)</f>
        <v>0.05</v>
      </c>
      <c r="D502" s="70">
        <f t="shared" ca="1" si="171"/>
        <v>0</v>
      </c>
      <c r="E502" s="70">
        <f t="shared" ca="1" si="172"/>
        <v>0</v>
      </c>
      <c r="F502" s="70">
        <f ca="1">IF(D502+Z502&lt;0.000001,0,IF(D502&lt;0.000001,F501,IF(OR(AE502=1,AND(K501&gt;0,入力設定!$B$8="返済額軽減型",入力設定!$B$11="翌月")),IF(C502=0,D502/MAX(1,E502),D502*(C502/12)/(1-(1+C502/12)^(-MAX(1,E502)))),F501)))</f>
        <v>0</v>
      </c>
      <c r="G502" s="70">
        <f t="shared" ca="1" si="154"/>
        <v>0</v>
      </c>
      <c r="H502" s="70">
        <f t="shared" ca="1" si="155"/>
        <v>0</v>
      </c>
      <c r="I502" s="70">
        <f t="shared" ca="1" si="156"/>
        <v>0</v>
      </c>
      <c r="J502" s="70">
        <f>SUMIFS(入力設定!$G$5:$G$24,入力設定!$F$5:$F$24,A502)</f>
        <v>0</v>
      </c>
      <c r="K502" s="70">
        <f t="shared" ca="1" si="157"/>
        <v>0</v>
      </c>
      <c r="L502" s="70">
        <f ca="1">IF(K502&gt;0,入力設定!$B$9,0)</f>
        <v>0</v>
      </c>
      <c r="M502" s="70">
        <f t="shared" ca="1" si="158"/>
        <v>0</v>
      </c>
      <c r="N502" s="70">
        <f ca="1">IF(M502+AA502&lt;0.000001,0,IF(AND(K502&gt;0,入力設定!$B$8="期間短縮型",AA502&lt;0.000001,F502&gt;M502*C502/12),MAX(1,MIN(E502-1,IF(C502=0,ROUNDUP(M502/F502,0),ROUNDUP(-LN(1-M502*(C502/12)/F502)/LN(1+C502/12),0)))),MAX(1,E502-1)))</f>
        <v>0</v>
      </c>
      <c r="O502" s="70">
        <f t="shared" ca="1" si="159"/>
        <v>0</v>
      </c>
      <c r="P502" s="70">
        <f t="shared" ca="1" si="173"/>
        <v>0</v>
      </c>
      <c r="Q502" s="70">
        <f ca="1">IF(OR(A502&gt;入力設定!$B$6*12,P502+AC502&lt;0.000001),0,IF(P502&lt;0.000001,Q501,IF(AE502=1,IF(C502=0,P502/MAX(1,入力設定!$B$6*12-A502+1),P502*(C502/12)/(1-(1+C502/12)^(-MAX(1,入力設定!$B$6*12-A502+1)))),Q501)))</f>
        <v>0</v>
      </c>
      <c r="R502" s="70">
        <f ca="1">IF(P502+AC502&lt;0.000001,0,IF(A502=入力設定!$B$6*12,P502+AB502+AC502,MIN(Q502,P502+AB502+AC502)))</f>
        <v>0</v>
      </c>
      <c r="S502" s="70">
        <f t="shared" ca="1" si="160"/>
        <v>0</v>
      </c>
      <c r="T502" s="70">
        <f t="shared" ca="1" si="161"/>
        <v>0</v>
      </c>
      <c r="U502" s="70">
        <f t="shared" ca="1" si="162"/>
        <v>0</v>
      </c>
      <c r="V502" s="70">
        <f t="shared" ca="1" si="163"/>
        <v>0</v>
      </c>
      <c r="W502" s="70">
        <f t="shared" ca="1" si="164"/>
        <v>0</v>
      </c>
      <c r="X502" s="70">
        <f t="shared" ca="1" si="165"/>
        <v>0</v>
      </c>
      <c r="Y502" s="71">
        <f t="shared" ca="1" si="166"/>
        <v>0</v>
      </c>
      <c r="Z502" s="71">
        <f t="shared" ca="1" si="174"/>
        <v>0</v>
      </c>
      <c r="AA502" s="71">
        <f t="shared" ca="1" si="167"/>
        <v>0</v>
      </c>
      <c r="AB502" s="71">
        <f t="shared" ca="1" si="168"/>
        <v>0</v>
      </c>
      <c r="AC502" s="71">
        <f t="shared" ca="1" si="175"/>
        <v>0</v>
      </c>
      <c r="AD502" s="71">
        <f t="shared" ca="1" si="169"/>
        <v>0</v>
      </c>
      <c r="AE502" s="72">
        <f t="shared" si="170"/>
        <v>0</v>
      </c>
      <c r="AF502" s="73">
        <f>IF(A502&gt;入力設定!$B$6*12,0,IF(AND(ISNUMBER(C502),C502&gt;=0,C502&lt;=1),0,1))</f>
        <v>0</v>
      </c>
    </row>
    <row r="503" spans="1:32" ht="21" customHeight="1">
      <c r="A503" s="68">
        <f>498</f>
        <v>498</v>
      </c>
      <c r="B503" s="69">
        <f>EDATE(入力設定!$B$7,A503-1)</f>
        <v>61454</v>
      </c>
      <c r="C503" s="80">
        <f>INDEX(入力設定!$C$15:$C$24,INT((A503-1)/60)+1)</f>
        <v>0.05</v>
      </c>
      <c r="D503" s="70">
        <f t="shared" ca="1" si="171"/>
        <v>0</v>
      </c>
      <c r="E503" s="70">
        <f t="shared" ca="1" si="172"/>
        <v>0</v>
      </c>
      <c r="F503" s="70">
        <f ca="1">IF(D503+Z503&lt;0.000001,0,IF(D503&lt;0.000001,F502,IF(OR(AE503=1,AND(K502&gt;0,入力設定!$B$8="返済額軽減型",入力設定!$B$11="翌月")),IF(C503=0,D503/MAX(1,E503),D503*(C503/12)/(1-(1+C503/12)^(-MAX(1,E503)))),F502)))</f>
        <v>0</v>
      </c>
      <c r="G503" s="70">
        <f t="shared" ca="1" si="154"/>
        <v>0</v>
      </c>
      <c r="H503" s="70">
        <f t="shared" ca="1" si="155"/>
        <v>0</v>
      </c>
      <c r="I503" s="70">
        <f t="shared" ca="1" si="156"/>
        <v>0</v>
      </c>
      <c r="J503" s="70">
        <f>SUMIFS(入力設定!$G$5:$G$24,入力設定!$F$5:$F$24,A503)</f>
        <v>0</v>
      </c>
      <c r="K503" s="70">
        <f t="shared" ca="1" si="157"/>
        <v>0</v>
      </c>
      <c r="L503" s="70">
        <f ca="1">IF(K503&gt;0,入力設定!$B$9,0)</f>
        <v>0</v>
      </c>
      <c r="M503" s="70">
        <f t="shared" ca="1" si="158"/>
        <v>0</v>
      </c>
      <c r="N503" s="70">
        <f ca="1">IF(M503+AA503&lt;0.000001,0,IF(AND(K503&gt;0,入力設定!$B$8="期間短縮型",AA503&lt;0.000001,F503&gt;M503*C503/12),MAX(1,MIN(E503-1,IF(C503=0,ROUNDUP(M503/F503,0),ROUNDUP(-LN(1-M503*(C503/12)/F503)/LN(1+C503/12),0)))),MAX(1,E503-1)))</f>
        <v>0</v>
      </c>
      <c r="O503" s="70">
        <f t="shared" ca="1" si="159"/>
        <v>0</v>
      </c>
      <c r="P503" s="70">
        <f t="shared" ca="1" si="173"/>
        <v>0</v>
      </c>
      <c r="Q503" s="70">
        <f ca="1">IF(OR(A503&gt;入力設定!$B$6*12,P503+AC503&lt;0.000001),0,IF(P503&lt;0.000001,Q502,IF(AE503=1,IF(C503=0,P503/MAX(1,入力設定!$B$6*12-A503+1),P503*(C503/12)/(1-(1+C503/12)^(-MAX(1,入力設定!$B$6*12-A503+1)))),Q502)))</f>
        <v>0</v>
      </c>
      <c r="R503" s="70">
        <f ca="1">IF(P503+AC503&lt;0.000001,0,IF(A503=入力設定!$B$6*12,P503+AB503+AC503,MIN(Q503,P503+AB503+AC503)))</f>
        <v>0</v>
      </c>
      <c r="S503" s="70">
        <f t="shared" ca="1" si="160"/>
        <v>0</v>
      </c>
      <c r="T503" s="70">
        <f t="shared" ca="1" si="161"/>
        <v>0</v>
      </c>
      <c r="U503" s="70">
        <f t="shared" ca="1" si="162"/>
        <v>0</v>
      </c>
      <c r="V503" s="70">
        <f t="shared" ca="1" si="163"/>
        <v>0</v>
      </c>
      <c r="W503" s="70">
        <f t="shared" ca="1" si="164"/>
        <v>0</v>
      </c>
      <c r="X503" s="70">
        <f t="shared" ca="1" si="165"/>
        <v>0</v>
      </c>
      <c r="Y503" s="71">
        <f t="shared" ca="1" si="166"/>
        <v>0</v>
      </c>
      <c r="Z503" s="71">
        <f t="shared" ca="1" si="174"/>
        <v>0</v>
      </c>
      <c r="AA503" s="71">
        <f t="shared" ca="1" si="167"/>
        <v>0</v>
      </c>
      <c r="AB503" s="71">
        <f t="shared" ca="1" si="168"/>
        <v>0</v>
      </c>
      <c r="AC503" s="71">
        <f t="shared" ca="1" si="175"/>
        <v>0</v>
      </c>
      <c r="AD503" s="71">
        <f t="shared" ca="1" si="169"/>
        <v>0</v>
      </c>
      <c r="AE503" s="72">
        <f t="shared" si="170"/>
        <v>0</v>
      </c>
      <c r="AF503" s="73">
        <f>IF(A503&gt;入力設定!$B$6*12,0,IF(AND(ISNUMBER(C503),C503&gt;=0,C503&lt;=1),0,1))</f>
        <v>0</v>
      </c>
    </row>
    <row r="504" spans="1:32" ht="21" customHeight="1">
      <c r="A504" s="68">
        <f>499</f>
        <v>499</v>
      </c>
      <c r="B504" s="69">
        <f>EDATE(入力設定!$B$7,A504-1)</f>
        <v>61484</v>
      </c>
      <c r="C504" s="80">
        <f>INDEX(入力設定!$C$15:$C$24,INT((A504-1)/60)+1)</f>
        <v>0.05</v>
      </c>
      <c r="D504" s="70">
        <f t="shared" ca="1" si="171"/>
        <v>0</v>
      </c>
      <c r="E504" s="70">
        <f t="shared" ca="1" si="172"/>
        <v>0</v>
      </c>
      <c r="F504" s="70">
        <f ca="1">IF(D504+Z504&lt;0.000001,0,IF(D504&lt;0.000001,F503,IF(OR(AE504=1,AND(K503&gt;0,入力設定!$B$8="返済額軽減型",入力設定!$B$11="翌月")),IF(C504=0,D504/MAX(1,E504),D504*(C504/12)/(1-(1+C504/12)^(-MAX(1,E504)))),F503)))</f>
        <v>0</v>
      </c>
      <c r="G504" s="70">
        <f t="shared" ca="1" si="154"/>
        <v>0</v>
      </c>
      <c r="H504" s="70">
        <f t="shared" ca="1" si="155"/>
        <v>0</v>
      </c>
      <c r="I504" s="70">
        <f t="shared" ca="1" si="156"/>
        <v>0</v>
      </c>
      <c r="J504" s="70">
        <f>SUMIFS(入力設定!$G$5:$G$24,入力設定!$F$5:$F$24,A504)</f>
        <v>0</v>
      </c>
      <c r="K504" s="70">
        <f t="shared" ca="1" si="157"/>
        <v>0</v>
      </c>
      <c r="L504" s="70">
        <f ca="1">IF(K504&gt;0,入力設定!$B$9,0)</f>
        <v>0</v>
      </c>
      <c r="M504" s="70">
        <f t="shared" ca="1" si="158"/>
        <v>0</v>
      </c>
      <c r="N504" s="70">
        <f ca="1">IF(M504+AA504&lt;0.000001,0,IF(AND(K504&gt;0,入力設定!$B$8="期間短縮型",AA504&lt;0.000001,F504&gt;M504*C504/12),MAX(1,MIN(E504-1,IF(C504=0,ROUNDUP(M504/F504,0),ROUNDUP(-LN(1-M504*(C504/12)/F504)/LN(1+C504/12),0)))),MAX(1,E504-1)))</f>
        <v>0</v>
      </c>
      <c r="O504" s="70">
        <f t="shared" ca="1" si="159"/>
        <v>0</v>
      </c>
      <c r="P504" s="70">
        <f t="shared" ca="1" si="173"/>
        <v>0</v>
      </c>
      <c r="Q504" s="70">
        <f ca="1">IF(OR(A504&gt;入力設定!$B$6*12,P504+AC504&lt;0.000001),0,IF(P504&lt;0.000001,Q503,IF(AE504=1,IF(C504=0,P504/MAX(1,入力設定!$B$6*12-A504+1),P504*(C504/12)/(1-(1+C504/12)^(-MAX(1,入力設定!$B$6*12-A504+1)))),Q503)))</f>
        <v>0</v>
      </c>
      <c r="R504" s="70">
        <f ca="1">IF(P504+AC504&lt;0.000001,0,IF(A504=入力設定!$B$6*12,P504+AB504+AC504,MIN(Q504,P504+AB504+AC504)))</f>
        <v>0</v>
      </c>
      <c r="S504" s="70">
        <f t="shared" ca="1" si="160"/>
        <v>0</v>
      </c>
      <c r="T504" s="70">
        <f t="shared" ca="1" si="161"/>
        <v>0</v>
      </c>
      <c r="U504" s="70">
        <f t="shared" ca="1" si="162"/>
        <v>0</v>
      </c>
      <c r="V504" s="70">
        <f t="shared" ca="1" si="163"/>
        <v>0</v>
      </c>
      <c r="W504" s="70">
        <f t="shared" ca="1" si="164"/>
        <v>0</v>
      </c>
      <c r="X504" s="70">
        <f t="shared" ca="1" si="165"/>
        <v>0</v>
      </c>
      <c r="Y504" s="71">
        <f t="shared" ca="1" si="166"/>
        <v>0</v>
      </c>
      <c r="Z504" s="71">
        <f t="shared" ca="1" si="174"/>
        <v>0</v>
      </c>
      <c r="AA504" s="71">
        <f t="shared" ca="1" si="167"/>
        <v>0</v>
      </c>
      <c r="AB504" s="71">
        <f t="shared" ca="1" si="168"/>
        <v>0</v>
      </c>
      <c r="AC504" s="71">
        <f t="shared" ca="1" si="175"/>
        <v>0</v>
      </c>
      <c r="AD504" s="71">
        <f t="shared" ca="1" si="169"/>
        <v>0</v>
      </c>
      <c r="AE504" s="72">
        <f t="shared" si="170"/>
        <v>0</v>
      </c>
      <c r="AF504" s="73">
        <f>IF(A504&gt;入力設定!$B$6*12,0,IF(AND(ISNUMBER(C504),C504&gt;=0,C504&lt;=1),0,1))</f>
        <v>0</v>
      </c>
    </row>
    <row r="505" spans="1:32" ht="21" customHeight="1">
      <c r="A505" s="68">
        <f>500</f>
        <v>500</v>
      </c>
      <c r="B505" s="69">
        <f>EDATE(入力設定!$B$7,A505-1)</f>
        <v>61515</v>
      </c>
      <c r="C505" s="80">
        <f>INDEX(入力設定!$C$15:$C$24,INT((A505-1)/60)+1)</f>
        <v>0.05</v>
      </c>
      <c r="D505" s="70">
        <f t="shared" ca="1" si="171"/>
        <v>0</v>
      </c>
      <c r="E505" s="70">
        <f t="shared" ca="1" si="172"/>
        <v>0</v>
      </c>
      <c r="F505" s="70">
        <f ca="1">IF(D505+Z505&lt;0.000001,0,IF(D505&lt;0.000001,F504,IF(OR(AE505=1,AND(K504&gt;0,入力設定!$B$8="返済額軽減型",入力設定!$B$11="翌月")),IF(C505=0,D505/MAX(1,E505),D505*(C505/12)/(1-(1+C505/12)^(-MAX(1,E505)))),F504)))</f>
        <v>0</v>
      </c>
      <c r="G505" s="70">
        <f t="shared" ca="1" si="154"/>
        <v>0</v>
      </c>
      <c r="H505" s="70">
        <f t="shared" ca="1" si="155"/>
        <v>0</v>
      </c>
      <c r="I505" s="70">
        <f t="shared" ca="1" si="156"/>
        <v>0</v>
      </c>
      <c r="J505" s="70">
        <f>SUMIFS(入力設定!$G$5:$G$24,入力設定!$F$5:$F$24,A505)</f>
        <v>0</v>
      </c>
      <c r="K505" s="70">
        <f t="shared" ca="1" si="157"/>
        <v>0</v>
      </c>
      <c r="L505" s="70">
        <f ca="1">IF(K505&gt;0,入力設定!$B$9,0)</f>
        <v>0</v>
      </c>
      <c r="M505" s="70">
        <f t="shared" ca="1" si="158"/>
        <v>0</v>
      </c>
      <c r="N505" s="70">
        <f ca="1">IF(M505+AA505&lt;0.000001,0,IF(AND(K505&gt;0,入力設定!$B$8="期間短縮型",AA505&lt;0.000001,F505&gt;M505*C505/12),MAX(1,MIN(E505-1,IF(C505=0,ROUNDUP(M505/F505,0),ROUNDUP(-LN(1-M505*(C505/12)/F505)/LN(1+C505/12),0)))),MAX(1,E505-1)))</f>
        <v>0</v>
      </c>
      <c r="O505" s="70">
        <f t="shared" ca="1" si="159"/>
        <v>0</v>
      </c>
      <c r="P505" s="70">
        <f t="shared" ca="1" si="173"/>
        <v>0</v>
      </c>
      <c r="Q505" s="70">
        <f ca="1">IF(OR(A505&gt;入力設定!$B$6*12,P505+AC505&lt;0.000001),0,IF(P505&lt;0.000001,Q504,IF(AE505=1,IF(C505=0,P505/MAX(1,入力設定!$B$6*12-A505+1),P505*(C505/12)/(1-(1+C505/12)^(-MAX(1,入力設定!$B$6*12-A505+1)))),Q504)))</f>
        <v>0</v>
      </c>
      <c r="R505" s="70">
        <f ca="1">IF(P505+AC505&lt;0.000001,0,IF(A505=入力設定!$B$6*12,P505+AB505+AC505,MIN(Q505,P505+AB505+AC505)))</f>
        <v>0</v>
      </c>
      <c r="S505" s="70">
        <f t="shared" ca="1" si="160"/>
        <v>0</v>
      </c>
      <c r="T505" s="70">
        <f t="shared" ca="1" si="161"/>
        <v>0</v>
      </c>
      <c r="U505" s="70">
        <f t="shared" ca="1" si="162"/>
        <v>0</v>
      </c>
      <c r="V505" s="70">
        <f t="shared" ca="1" si="163"/>
        <v>0</v>
      </c>
      <c r="W505" s="70">
        <f t="shared" ca="1" si="164"/>
        <v>0</v>
      </c>
      <c r="X505" s="70">
        <f t="shared" ca="1" si="165"/>
        <v>0</v>
      </c>
      <c r="Y505" s="71">
        <f t="shared" ca="1" si="166"/>
        <v>0</v>
      </c>
      <c r="Z505" s="71">
        <f t="shared" ca="1" si="174"/>
        <v>0</v>
      </c>
      <c r="AA505" s="71">
        <f t="shared" ca="1" si="167"/>
        <v>0</v>
      </c>
      <c r="AB505" s="71">
        <f t="shared" ca="1" si="168"/>
        <v>0</v>
      </c>
      <c r="AC505" s="71">
        <f t="shared" ca="1" si="175"/>
        <v>0</v>
      </c>
      <c r="AD505" s="71">
        <f t="shared" ca="1" si="169"/>
        <v>0</v>
      </c>
      <c r="AE505" s="72">
        <f t="shared" si="170"/>
        <v>0</v>
      </c>
      <c r="AF505" s="73">
        <f>IF(A505&gt;入力設定!$B$6*12,0,IF(AND(ISNUMBER(C505),C505&gt;=0,C505&lt;=1),0,1))</f>
        <v>0</v>
      </c>
    </row>
    <row r="506" spans="1:32" ht="21" customHeight="1">
      <c r="A506" s="68">
        <f>501</f>
        <v>501</v>
      </c>
      <c r="B506" s="69">
        <f>EDATE(入力設定!$B$7,A506-1)</f>
        <v>61545</v>
      </c>
      <c r="C506" s="80">
        <f>INDEX(入力設定!$C$15:$C$24,INT((A506-1)/60)+1)</f>
        <v>0.05</v>
      </c>
      <c r="D506" s="70">
        <f t="shared" ca="1" si="171"/>
        <v>0</v>
      </c>
      <c r="E506" s="70">
        <f t="shared" ca="1" si="172"/>
        <v>0</v>
      </c>
      <c r="F506" s="70">
        <f ca="1">IF(D506+Z506&lt;0.000001,0,IF(D506&lt;0.000001,F505,IF(OR(AE506=1,AND(K505&gt;0,入力設定!$B$8="返済額軽減型",入力設定!$B$11="翌月")),IF(C506=0,D506/MAX(1,E506),D506*(C506/12)/(1-(1+C506/12)^(-MAX(1,E506)))),F505)))</f>
        <v>0</v>
      </c>
      <c r="G506" s="70">
        <f t="shared" ca="1" si="154"/>
        <v>0</v>
      </c>
      <c r="H506" s="70">
        <f t="shared" ca="1" si="155"/>
        <v>0</v>
      </c>
      <c r="I506" s="70">
        <f t="shared" ca="1" si="156"/>
        <v>0</v>
      </c>
      <c r="J506" s="70">
        <f>SUMIFS(入力設定!$G$5:$G$24,入力設定!$F$5:$F$24,A506)</f>
        <v>0</v>
      </c>
      <c r="K506" s="70">
        <f t="shared" ca="1" si="157"/>
        <v>0</v>
      </c>
      <c r="L506" s="70">
        <f ca="1">IF(K506&gt;0,入力設定!$B$9,0)</f>
        <v>0</v>
      </c>
      <c r="M506" s="70">
        <f t="shared" ca="1" si="158"/>
        <v>0</v>
      </c>
      <c r="N506" s="70">
        <f ca="1">IF(M506+AA506&lt;0.000001,0,IF(AND(K506&gt;0,入力設定!$B$8="期間短縮型",AA506&lt;0.000001,F506&gt;M506*C506/12),MAX(1,MIN(E506-1,IF(C506=0,ROUNDUP(M506/F506,0),ROUNDUP(-LN(1-M506*(C506/12)/F506)/LN(1+C506/12),0)))),MAX(1,E506-1)))</f>
        <v>0</v>
      </c>
      <c r="O506" s="70">
        <f t="shared" ca="1" si="159"/>
        <v>0</v>
      </c>
      <c r="P506" s="70">
        <f t="shared" ca="1" si="173"/>
        <v>0</v>
      </c>
      <c r="Q506" s="70">
        <f ca="1">IF(OR(A506&gt;入力設定!$B$6*12,P506+AC506&lt;0.000001),0,IF(P506&lt;0.000001,Q505,IF(AE506=1,IF(C506=0,P506/MAX(1,入力設定!$B$6*12-A506+1),P506*(C506/12)/(1-(1+C506/12)^(-MAX(1,入力設定!$B$6*12-A506+1)))),Q505)))</f>
        <v>0</v>
      </c>
      <c r="R506" s="70">
        <f ca="1">IF(P506+AC506&lt;0.000001,0,IF(A506=入力設定!$B$6*12,P506+AB506+AC506,MIN(Q506,P506+AB506+AC506)))</f>
        <v>0</v>
      </c>
      <c r="S506" s="70">
        <f t="shared" ca="1" si="160"/>
        <v>0</v>
      </c>
      <c r="T506" s="70">
        <f t="shared" ca="1" si="161"/>
        <v>0</v>
      </c>
      <c r="U506" s="70">
        <f t="shared" ca="1" si="162"/>
        <v>0</v>
      </c>
      <c r="V506" s="70">
        <f t="shared" ca="1" si="163"/>
        <v>0</v>
      </c>
      <c r="W506" s="70">
        <f t="shared" ca="1" si="164"/>
        <v>0</v>
      </c>
      <c r="X506" s="70">
        <f t="shared" ca="1" si="165"/>
        <v>0</v>
      </c>
      <c r="Y506" s="71">
        <f t="shared" ca="1" si="166"/>
        <v>0</v>
      </c>
      <c r="Z506" s="71">
        <f t="shared" ca="1" si="174"/>
        <v>0</v>
      </c>
      <c r="AA506" s="71">
        <f t="shared" ca="1" si="167"/>
        <v>0</v>
      </c>
      <c r="AB506" s="71">
        <f t="shared" ca="1" si="168"/>
        <v>0</v>
      </c>
      <c r="AC506" s="71">
        <f t="shared" ca="1" si="175"/>
        <v>0</v>
      </c>
      <c r="AD506" s="71">
        <f t="shared" ca="1" si="169"/>
        <v>0</v>
      </c>
      <c r="AE506" s="72">
        <f t="shared" si="170"/>
        <v>0</v>
      </c>
      <c r="AF506" s="73">
        <f>IF(A506&gt;入力設定!$B$6*12,0,IF(AND(ISNUMBER(C506),C506&gt;=0,C506&lt;=1),0,1))</f>
        <v>0</v>
      </c>
    </row>
    <row r="507" spans="1:32" ht="21" customHeight="1">
      <c r="A507" s="68">
        <f>502</f>
        <v>502</v>
      </c>
      <c r="B507" s="69">
        <f>EDATE(入力設定!$B$7,A507-1)</f>
        <v>61576</v>
      </c>
      <c r="C507" s="80">
        <f>INDEX(入力設定!$C$15:$C$24,INT((A507-1)/60)+1)</f>
        <v>0.05</v>
      </c>
      <c r="D507" s="70">
        <f t="shared" ca="1" si="171"/>
        <v>0</v>
      </c>
      <c r="E507" s="70">
        <f t="shared" ca="1" si="172"/>
        <v>0</v>
      </c>
      <c r="F507" s="70">
        <f ca="1">IF(D507+Z507&lt;0.000001,0,IF(D507&lt;0.000001,F506,IF(OR(AE507=1,AND(K506&gt;0,入力設定!$B$8="返済額軽減型",入力設定!$B$11="翌月")),IF(C507=0,D507/MAX(1,E507),D507*(C507/12)/(1-(1+C507/12)^(-MAX(1,E507)))),F506)))</f>
        <v>0</v>
      </c>
      <c r="G507" s="70">
        <f t="shared" ca="1" si="154"/>
        <v>0</v>
      </c>
      <c r="H507" s="70">
        <f t="shared" ca="1" si="155"/>
        <v>0</v>
      </c>
      <c r="I507" s="70">
        <f t="shared" ca="1" si="156"/>
        <v>0</v>
      </c>
      <c r="J507" s="70">
        <f>SUMIFS(入力設定!$G$5:$G$24,入力設定!$F$5:$F$24,A507)</f>
        <v>0</v>
      </c>
      <c r="K507" s="70">
        <f t="shared" ca="1" si="157"/>
        <v>0</v>
      </c>
      <c r="L507" s="70">
        <f ca="1">IF(K507&gt;0,入力設定!$B$9,0)</f>
        <v>0</v>
      </c>
      <c r="M507" s="70">
        <f t="shared" ca="1" si="158"/>
        <v>0</v>
      </c>
      <c r="N507" s="70">
        <f ca="1">IF(M507+AA507&lt;0.000001,0,IF(AND(K507&gt;0,入力設定!$B$8="期間短縮型",AA507&lt;0.000001,F507&gt;M507*C507/12),MAX(1,MIN(E507-1,IF(C507=0,ROUNDUP(M507/F507,0),ROUNDUP(-LN(1-M507*(C507/12)/F507)/LN(1+C507/12),0)))),MAX(1,E507-1)))</f>
        <v>0</v>
      </c>
      <c r="O507" s="70">
        <f t="shared" ca="1" si="159"/>
        <v>0</v>
      </c>
      <c r="P507" s="70">
        <f t="shared" ca="1" si="173"/>
        <v>0</v>
      </c>
      <c r="Q507" s="70">
        <f ca="1">IF(OR(A507&gt;入力設定!$B$6*12,P507+AC507&lt;0.000001),0,IF(P507&lt;0.000001,Q506,IF(AE507=1,IF(C507=0,P507/MAX(1,入力設定!$B$6*12-A507+1),P507*(C507/12)/(1-(1+C507/12)^(-MAX(1,入力設定!$B$6*12-A507+1)))),Q506)))</f>
        <v>0</v>
      </c>
      <c r="R507" s="70">
        <f ca="1">IF(P507+AC507&lt;0.000001,0,IF(A507=入力設定!$B$6*12,P507+AB507+AC507,MIN(Q507,P507+AB507+AC507)))</f>
        <v>0</v>
      </c>
      <c r="S507" s="70">
        <f t="shared" ca="1" si="160"/>
        <v>0</v>
      </c>
      <c r="T507" s="70">
        <f t="shared" ca="1" si="161"/>
        <v>0</v>
      </c>
      <c r="U507" s="70">
        <f t="shared" ca="1" si="162"/>
        <v>0</v>
      </c>
      <c r="V507" s="70">
        <f t="shared" ca="1" si="163"/>
        <v>0</v>
      </c>
      <c r="W507" s="70">
        <f t="shared" ca="1" si="164"/>
        <v>0</v>
      </c>
      <c r="X507" s="70">
        <f t="shared" ca="1" si="165"/>
        <v>0</v>
      </c>
      <c r="Y507" s="71">
        <f t="shared" ca="1" si="166"/>
        <v>0</v>
      </c>
      <c r="Z507" s="71">
        <f t="shared" ca="1" si="174"/>
        <v>0</v>
      </c>
      <c r="AA507" s="71">
        <f t="shared" ca="1" si="167"/>
        <v>0</v>
      </c>
      <c r="AB507" s="71">
        <f t="shared" ca="1" si="168"/>
        <v>0</v>
      </c>
      <c r="AC507" s="71">
        <f t="shared" ca="1" si="175"/>
        <v>0</v>
      </c>
      <c r="AD507" s="71">
        <f t="shared" ca="1" si="169"/>
        <v>0</v>
      </c>
      <c r="AE507" s="72">
        <f t="shared" si="170"/>
        <v>0</v>
      </c>
      <c r="AF507" s="73">
        <f>IF(A507&gt;入力設定!$B$6*12,0,IF(AND(ISNUMBER(C507),C507&gt;=0,C507&lt;=1),0,1))</f>
        <v>0</v>
      </c>
    </row>
    <row r="508" spans="1:32" ht="21" customHeight="1">
      <c r="A508" s="68">
        <f>503</f>
        <v>503</v>
      </c>
      <c r="B508" s="69">
        <f>EDATE(入力設定!$B$7,A508-1)</f>
        <v>61607</v>
      </c>
      <c r="C508" s="80">
        <f>INDEX(入力設定!$C$15:$C$24,INT((A508-1)/60)+1)</f>
        <v>0.05</v>
      </c>
      <c r="D508" s="70">
        <f t="shared" ca="1" si="171"/>
        <v>0</v>
      </c>
      <c r="E508" s="70">
        <f t="shared" ca="1" si="172"/>
        <v>0</v>
      </c>
      <c r="F508" s="70">
        <f ca="1">IF(D508+Z508&lt;0.000001,0,IF(D508&lt;0.000001,F507,IF(OR(AE508=1,AND(K507&gt;0,入力設定!$B$8="返済額軽減型",入力設定!$B$11="翌月")),IF(C508=0,D508/MAX(1,E508),D508*(C508/12)/(1-(1+C508/12)^(-MAX(1,E508)))),F507)))</f>
        <v>0</v>
      </c>
      <c r="G508" s="70">
        <f t="shared" ca="1" si="154"/>
        <v>0</v>
      </c>
      <c r="H508" s="70">
        <f t="shared" ca="1" si="155"/>
        <v>0</v>
      </c>
      <c r="I508" s="70">
        <f t="shared" ca="1" si="156"/>
        <v>0</v>
      </c>
      <c r="J508" s="70">
        <f>SUMIFS(入力設定!$G$5:$G$24,入力設定!$F$5:$F$24,A508)</f>
        <v>0</v>
      </c>
      <c r="K508" s="70">
        <f t="shared" ca="1" si="157"/>
        <v>0</v>
      </c>
      <c r="L508" s="70">
        <f ca="1">IF(K508&gt;0,入力設定!$B$9,0)</f>
        <v>0</v>
      </c>
      <c r="M508" s="70">
        <f t="shared" ca="1" si="158"/>
        <v>0</v>
      </c>
      <c r="N508" s="70">
        <f ca="1">IF(M508+AA508&lt;0.000001,0,IF(AND(K508&gt;0,入力設定!$B$8="期間短縮型",AA508&lt;0.000001,F508&gt;M508*C508/12),MAX(1,MIN(E508-1,IF(C508=0,ROUNDUP(M508/F508,0),ROUNDUP(-LN(1-M508*(C508/12)/F508)/LN(1+C508/12),0)))),MAX(1,E508-1)))</f>
        <v>0</v>
      </c>
      <c r="O508" s="70">
        <f t="shared" ca="1" si="159"/>
        <v>0</v>
      </c>
      <c r="P508" s="70">
        <f t="shared" ca="1" si="173"/>
        <v>0</v>
      </c>
      <c r="Q508" s="70">
        <f ca="1">IF(OR(A508&gt;入力設定!$B$6*12,P508+AC508&lt;0.000001),0,IF(P508&lt;0.000001,Q507,IF(AE508=1,IF(C508=0,P508/MAX(1,入力設定!$B$6*12-A508+1),P508*(C508/12)/(1-(1+C508/12)^(-MAX(1,入力設定!$B$6*12-A508+1)))),Q507)))</f>
        <v>0</v>
      </c>
      <c r="R508" s="70">
        <f ca="1">IF(P508+AC508&lt;0.000001,0,IF(A508=入力設定!$B$6*12,P508+AB508+AC508,MIN(Q508,P508+AB508+AC508)))</f>
        <v>0</v>
      </c>
      <c r="S508" s="70">
        <f t="shared" ca="1" si="160"/>
        <v>0</v>
      </c>
      <c r="T508" s="70">
        <f t="shared" ca="1" si="161"/>
        <v>0</v>
      </c>
      <c r="U508" s="70">
        <f t="shared" ca="1" si="162"/>
        <v>0</v>
      </c>
      <c r="V508" s="70">
        <f t="shared" ca="1" si="163"/>
        <v>0</v>
      </c>
      <c r="W508" s="70">
        <f t="shared" ca="1" si="164"/>
        <v>0</v>
      </c>
      <c r="X508" s="70">
        <f t="shared" ca="1" si="165"/>
        <v>0</v>
      </c>
      <c r="Y508" s="71">
        <f t="shared" ca="1" si="166"/>
        <v>0</v>
      </c>
      <c r="Z508" s="71">
        <f t="shared" ca="1" si="174"/>
        <v>0</v>
      </c>
      <c r="AA508" s="71">
        <f t="shared" ca="1" si="167"/>
        <v>0</v>
      </c>
      <c r="AB508" s="71">
        <f t="shared" ca="1" si="168"/>
        <v>0</v>
      </c>
      <c r="AC508" s="71">
        <f t="shared" ca="1" si="175"/>
        <v>0</v>
      </c>
      <c r="AD508" s="71">
        <f t="shared" ca="1" si="169"/>
        <v>0</v>
      </c>
      <c r="AE508" s="72">
        <f t="shared" si="170"/>
        <v>0</v>
      </c>
      <c r="AF508" s="73">
        <f>IF(A508&gt;入力設定!$B$6*12,0,IF(AND(ISNUMBER(C508),C508&gt;=0,C508&lt;=1),0,1))</f>
        <v>0</v>
      </c>
    </row>
    <row r="509" spans="1:32" ht="21" customHeight="1">
      <c r="A509" s="68">
        <f>504</f>
        <v>504</v>
      </c>
      <c r="B509" s="69">
        <f>EDATE(入力設定!$B$7,A509-1)</f>
        <v>61637</v>
      </c>
      <c r="C509" s="80">
        <f>INDEX(入力設定!$C$15:$C$24,INT((A509-1)/60)+1)</f>
        <v>0.05</v>
      </c>
      <c r="D509" s="70">
        <f t="shared" ca="1" si="171"/>
        <v>0</v>
      </c>
      <c r="E509" s="70">
        <f t="shared" ca="1" si="172"/>
        <v>0</v>
      </c>
      <c r="F509" s="70">
        <f ca="1">IF(D509+Z509&lt;0.000001,0,IF(D509&lt;0.000001,F508,IF(OR(AE509=1,AND(K508&gt;0,入力設定!$B$8="返済額軽減型",入力設定!$B$11="翌月")),IF(C509=0,D509/MAX(1,E509),D509*(C509/12)/(1-(1+C509/12)^(-MAX(1,E509)))),F508)))</f>
        <v>0</v>
      </c>
      <c r="G509" s="70">
        <f t="shared" ca="1" si="154"/>
        <v>0</v>
      </c>
      <c r="H509" s="70">
        <f t="shared" ca="1" si="155"/>
        <v>0</v>
      </c>
      <c r="I509" s="70">
        <f t="shared" ca="1" si="156"/>
        <v>0</v>
      </c>
      <c r="J509" s="70">
        <f>SUMIFS(入力設定!$G$5:$G$24,入力設定!$F$5:$F$24,A509)</f>
        <v>0</v>
      </c>
      <c r="K509" s="70">
        <f t="shared" ca="1" si="157"/>
        <v>0</v>
      </c>
      <c r="L509" s="70">
        <f ca="1">IF(K509&gt;0,入力設定!$B$9,0)</f>
        <v>0</v>
      </c>
      <c r="M509" s="70">
        <f t="shared" ca="1" si="158"/>
        <v>0</v>
      </c>
      <c r="N509" s="70">
        <f ca="1">IF(M509+AA509&lt;0.000001,0,IF(AND(K509&gt;0,入力設定!$B$8="期間短縮型",AA509&lt;0.000001,F509&gt;M509*C509/12),MAX(1,MIN(E509-1,IF(C509=0,ROUNDUP(M509/F509,0),ROUNDUP(-LN(1-M509*(C509/12)/F509)/LN(1+C509/12),0)))),MAX(1,E509-1)))</f>
        <v>0</v>
      </c>
      <c r="O509" s="70">
        <f t="shared" ca="1" si="159"/>
        <v>0</v>
      </c>
      <c r="P509" s="70">
        <f t="shared" ca="1" si="173"/>
        <v>0</v>
      </c>
      <c r="Q509" s="70">
        <f ca="1">IF(OR(A509&gt;入力設定!$B$6*12,P509+AC509&lt;0.000001),0,IF(P509&lt;0.000001,Q508,IF(AE509=1,IF(C509=0,P509/MAX(1,入力設定!$B$6*12-A509+1),P509*(C509/12)/(1-(1+C509/12)^(-MAX(1,入力設定!$B$6*12-A509+1)))),Q508)))</f>
        <v>0</v>
      </c>
      <c r="R509" s="70">
        <f ca="1">IF(P509+AC509&lt;0.000001,0,IF(A509=入力設定!$B$6*12,P509+AB509+AC509,MIN(Q509,P509+AB509+AC509)))</f>
        <v>0</v>
      </c>
      <c r="S509" s="70">
        <f t="shared" ca="1" si="160"/>
        <v>0</v>
      </c>
      <c r="T509" s="70">
        <f t="shared" ca="1" si="161"/>
        <v>0</v>
      </c>
      <c r="U509" s="70">
        <f t="shared" ca="1" si="162"/>
        <v>0</v>
      </c>
      <c r="V509" s="70">
        <f t="shared" ca="1" si="163"/>
        <v>0</v>
      </c>
      <c r="W509" s="70">
        <f t="shared" ca="1" si="164"/>
        <v>0</v>
      </c>
      <c r="X509" s="70">
        <f t="shared" ca="1" si="165"/>
        <v>0</v>
      </c>
      <c r="Y509" s="71">
        <f t="shared" ca="1" si="166"/>
        <v>0</v>
      </c>
      <c r="Z509" s="71">
        <f t="shared" ca="1" si="174"/>
        <v>0</v>
      </c>
      <c r="AA509" s="71">
        <f t="shared" ca="1" si="167"/>
        <v>0</v>
      </c>
      <c r="AB509" s="71">
        <f t="shared" ca="1" si="168"/>
        <v>0</v>
      </c>
      <c r="AC509" s="71">
        <f t="shared" ca="1" si="175"/>
        <v>0</v>
      </c>
      <c r="AD509" s="71">
        <f t="shared" ca="1" si="169"/>
        <v>0</v>
      </c>
      <c r="AE509" s="72">
        <f t="shared" si="170"/>
        <v>0</v>
      </c>
      <c r="AF509" s="73">
        <f>IF(A509&gt;入力設定!$B$6*12,0,IF(AND(ISNUMBER(C509),C509&gt;=0,C509&lt;=1),0,1))</f>
        <v>0</v>
      </c>
    </row>
    <row r="510" spans="1:32" ht="21" customHeight="1">
      <c r="A510" s="68">
        <f>505</f>
        <v>505</v>
      </c>
      <c r="B510" s="69">
        <f>EDATE(入力設定!$B$7,A510-1)</f>
        <v>61668</v>
      </c>
      <c r="C510" s="80">
        <f>INDEX(入力設定!$C$15:$C$24,INT((A510-1)/60)+1)</f>
        <v>0.05</v>
      </c>
      <c r="D510" s="70">
        <f t="shared" ca="1" si="171"/>
        <v>0</v>
      </c>
      <c r="E510" s="70">
        <f t="shared" ca="1" si="172"/>
        <v>0</v>
      </c>
      <c r="F510" s="70">
        <f ca="1">IF(D510+Z510&lt;0.000001,0,IF(D510&lt;0.000001,F509,IF(OR(AE510=1,AND(K509&gt;0,入力設定!$B$8="返済額軽減型",入力設定!$B$11="翌月")),IF(C510=0,D510/MAX(1,E510),D510*(C510/12)/(1-(1+C510/12)^(-MAX(1,E510)))),F509)))</f>
        <v>0</v>
      </c>
      <c r="G510" s="70">
        <f t="shared" ca="1" si="154"/>
        <v>0</v>
      </c>
      <c r="H510" s="70">
        <f t="shared" ca="1" si="155"/>
        <v>0</v>
      </c>
      <c r="I510" s="70">
        <f t="shared" ca="1" si="156"/>
        <v>0</v>
      </c>
      <c r="J510" s="70">
        <f>SUMIFS(入力設定!$G$5:$G$24,入力設定!$F$5:$F$24,A510)</f>
        <v>0</v>
      </c>
      <c r="K510" s="70">
        <f t="shared" ca="1" si="157"/>
        <v>0</v>
      </c>
      <c r="L510" s="70">
        <f ca="1">IF(K510&gt;0,入力設定!$B$9,0)</f>
        <v>0</v>
      </c>
      <c r="M510" s="70">
        <f t="shared" ca="1" si="158"/>
        <v>0</v>
      </c>
      <c r="N510" s="70">
        <f ca="1">IF(M510+AA510&lt;0.000001,0,IF(AND(K510&gt;0,入力設定!$B$8="期間短縮型",AA510&lt;0.000001,F510&gt;M510*C510/12),MAX(1,MIN(E510-1,IF(C510=0,ROUNDUP(M510/F510,0),ROUNDUP(-LN(1-M510*(C510/12)/F510)/LN(1+C510/12),0)))),MAX(1,E510-1)))</f>
        <v>0</v>
      </c>
      <c r="O510" s="70">
        <f t="shared" ca="1" si="159"/>
        <v>0</v>
      </c>
      <c r="P510" s="70">
        <f t="shared" ca="1" si="173"/>
        <v>0</v>
      </c>
      <c r="Q510" s="70">
        <f ca="1">IF(OR(A510&gt;入力設定!$B$6*12,P510+AC510&lt;0.000001),0,IF(P510&lt;0.000001,Q509,IF(AE510=1,IF(C510=0,P510/MAX(1,入力設定!$B$6*12-A510+1),P510*(C510/12)/(1-(1+C510/12)^(-MAX(1,入力設定!$B$6*12-A510+1)))),Q509)))</f>
        <v>0</v>
      </c>
      <c r="R510" s="70">
        <f ca="1">IF(P510+AC510&lt;0.000001,0,IF(A510=入力設定!$B$6*12,P510+AB510+AC510,MIN(Q510,P510+AB510+AC510)))</f>
        <v>0</v>
      </c>
      <c r="S510" s="70">
        <f t="shared" ca="1" si="160"/>
        <v>0</v>
      </c>
      <c r="T510" s="70">
        <f t="shared" ca="1" si="161"/>
        <v>0</v>
      </c>
      <c r="U510" s="70">
        <f t="shared" ca="1" si="162"/>
        <v>0</v>
      </c>
      <c r="V510" s="70">
        <f t="shared" ca="1" si="163"/>
        <v>0</v>
      </c>
      <c r="W510" s="70">
        <f t="shared" ca="1" si="164"/>
        <v>0</v>
      </c>
      <c r="X510" s="70">
        <f t="shared" ca="1" si="165"/>
        <v>0</v>
      </c>
      <c r="Y510" s="71">
        <f t="shared" ca="1" si="166"/>
        <v>0</v>
      </c>
      <c r="Z510" s="71">
        <f t="shared" ca="1" si="174"/>
        <v>0</v>
      </c>
      <c r="AA510" s="71">
        <f t="shared" ca="1" si="167"/>
        <v>0</v>
      </c>
      <c r="AB510" s="71">
        <f t="shared" ca="1" si="168"/>
        <v>0</v>
      </c>
      <c r="AC510" s="71">
        <f t="shared" ca="1" si="175"/>
        <v>0</v>
      </c>
      <c r="AD510" s="71">
        <f t="shared" ca="1" si="169"/>
        <v>0</v>
      </c>
      <c r="AE510" s="72">
        <f t="shared" si="170"/>
        <v>0</v>
      </c>
      <c r="AF510" s="73">
        <f>IF(A510&gt;入力設定!$B$6*12,0,IF(AND(ISNUMBER(C510),C510&gt;=0,C510&lt;=1),0,1))</f>
        <v>0</v>
      </c>
    </row>
    <row r="511" spans="1:32" ht="21" customHeight="1">
      <c r="A511" s="68">
        <f>506</f>
        <v>506</v>
      </c>
      <c r="B511" s="69">
        <f>EDATE(入力設定!$B$7,A511-1)</f>
        <v>61698</v>
      </c>
      <c r="C511" s="80">
        <f>INDEX(入力設定!$C$15:$C$24,INT((A511-1)/60)+1)</f>
        <v>0.05</v>
      </c>
      <c r="D511" s="70">
        <f t="shared" ca="1" si="171"/>
        <v>0</v>
      </c>
      <c r="E511" s="70">
        <f t="shared" ca="1" si="172"/>
        <v>0</v>
      </c>
      <c r="F511" s="70">
        <f ca="1">IF(D511+Z511&lt;0.000001,0,IF(D511&lt;0.000001,F510,IF(OR(AE511=1,AND(K510&gt;0,入力設定!$B$8="返済額軽減型",入力設定!$B$11="翌月")),IF(C511=0,D511/MAX(1,E511),D511*(C511/12)/(1-(1+C511/12)^(-MAX(1,E511)))),F510)))</f>
        <v>0</v>
      </c>
      <c r="G511" s="70">
        <f t="shared" ca="1" si="154"/>
        <v>0</v>
      </c>
      <c r="H511" s="70">
        <f t="shared" ca="1" si="155"/>
        <v>0</v>
      </c>
      <c r="I511" s="70">
        <f t="shared" ca="1" si="156"/>
        <v>0</v>
      </c>
      <c r="J511" s="70">
        <f>SUMIFS(入力設定!$G$5:$G$24,入力設定!$F$5:$F$24,A511)</f>
        <v>0</v>
      </c>
      <c r="K511" s="70">
        <f t="shared" ca="1" si="157"/>
        <v>0</v>
      </c>
      <c r="L511" s="70">
        <f ca="1">IF(K511&gt;0,入力設定!$B$9,0)</f>
        <v>0</v>
      </c>
      <c r="M511" s="70">
        <f t="shared" ca="1" si="158"/>
        <v>0</v>
      </c>
      <c r="N511" s="70">
        <f ca="1">IF(M511+AA511&lt;0.000001,0,IF(AND(K511&gt;0,入力設定!$B$8="期間短縮型",AA511&lt;0.000001,F511&gt;M511*C511/12),MAX(1,MIN(E511-1,IF(C511=0,ROUNDUP(M511/F511,0),ROUNDUP(-LN(1-M511*(C511/12)/F511)/LN(1+C511/12),0)))),MAX(1,E511-1)))</f>
        <v>0</v>
      </c>
      <c r="O511" s="70">
        <f t="shared" ca="1" si="159"/>
        <v>0</v>
      </c>
      <c r="P511" s="70">
        <f t="shared" ca="1" si="173"/>
        <v>0</v>
      </c>
      <c r="Q511" s="70">
        <f ca="1">IF(OR(A511&gt;入力設定!$B$6*12,P511+AC511&lt;0.000001),0,IF(P511&lt;0.000001,Q510,IF(AE511=1,IF(C511=0,P511/MAX(1,入力設定!$B$6*12-A511+1),P511*(C511/12)/(1-(1+C511/12)^(-MAX(1,入力設定!$B$6*12-A511+1)))),Q510)))</f>
        <v>0</v>
      </c>
      <c r="R511" s="70">
        <f ca="1">IF(P511+AC511&lt;0.000001,0,IF(A511=入力設定!$B$6*12,P511+AB511+AC511,MIN(Q511,P511+AB511+AC511)))</f>
        <v>0</v>
      </c>
      <c r="S511" s="70">
        <f t="shared" ca="1" si="160"/>
        <v>0</v>
      </c>
      <c r="T511" s="70">
        <f t="shared" ca="1" si="161"/>
        <v>0</v>
      </c>
      <c r="U511" s="70">
        <f t="shared" ca="1" si="162"/>
        <v>0</v>
      </c>
      <c r="V511" s="70">
        <f t="shared" ca="1" si="163"/>
        <v>0</v>
      </c>
      <c r="W511" s="70">
        <f t="shared" ca="1" si="164"/>
        <v>0</v>
      </c>
      <c r="X511" s="70">
        <f t="shared" ca="1" si="165"/>
        <v>0</v>
      </c>
      <c r="Y511" s="71">
        <f t="shared" ca="1" si="166"/>
        <v>0</v>
      </c>
      <c r="Z511" s="71">
        <f t="shared" ca="1" si="174"/>
        <v>0</v>
      </c>
      <c r="AA511" s="71">
        <f t="shared" ca="1" si="167"/>
        <v>0</v>
      </c>
      <c r="AB511" s="71">
        <f t="shared" ca="1" si="168"/>
        <v>0</v>
      </c>
      <c r="AC511" s="71">
        <f t="shared" ca="1" si="175"/>
        <v>0</v>
      </c>
      <c r="AD511" s="71">
        <f t="shared" ca="1" si="169"/>
        <v>0</v>
      </c>
      <c r="AE511" s="72">
        <f t="shared" si="170"/>
        <v>0</v>
      </c>
      <c r="AF511" s="73">
        <f>IF(A511&gt;入力設定!$B$6*12,0,IF(AND(ISNUMBER(C511),C511&gt;=0,C511&lt;=1),0,1))</f>
        <v>0</v>
      </c>
    </row>
    <row r="512" spans="1:32" ht="21" customHeight="1">
      <c r="A512" s="68">
        <f>507</f>
        <v>507</v>
      </c>
      <c r="B512" s="69">
        <f>EDATE(入力設定!$B$7,A512-1)</f>
        <v>61729</v>
      </c>
      <c r="C512" s="80">
        <f>INDEX(入力設定!$C$15:$C$24,INT((A512-1)/60)+1)</f>
        <v>0.05</v>
      </c>
      <c r="D512" s="70">
        <f t="shared" ca="1" si="171"/>
        <v>0</v>
      </c>
      <c r="E512" s="70">
        <f t="shared" ca="1" si="172"/>
        <v>0</v>
      </c>
      <c r="F512" s="70">
        <f ca="1">IF(D512+Z512&lt;0.000001,0,IF(D512&lt;0.000001,F511,IF(OR(AE512=1,AND(K511&gt;0,入力設定!$B$8="返済額軽減型",入力設定!$B$11="翌月")),IF(C512=0,D512/MAX(1,E512),D512*(C512/12)/(1-(1+C512/12)^(-MAX(1,E512)))),F511)))</f>
        <v>0</v>
      </c>
      <c r="G512" s="70">
        <f t="shared" ca="1" si="154"/>
        <v>0</v>
      </c>
      <c r="H512" s="70">
        <f t="shared" ca="1" si="155"/>
        <v>0</v>
      </c>
      <c r="I512" s="70">
        <f t="shared" ca="1" si="156"/>
        <v>0</v>
      </c>
      <c r="J512" s="70">
        <f>SUMIFS(入力設定!$G$5:$G$24,入力設定!$F$5:$F$24,A512)</f>
        <v>0</v>
      </c>
      <c r="K512" s="70">
        <f t="shared" ca="1" si="157"/>
        <v>0</v>
      </c>
      <c r="L512" s="70">
        <f ca="1">IF(K512&gt;0,入力設定!$B$9,0)</f>
        <v>0</v>
      </c>
      <c r="M512" s="70">
        <f t="shared" ca="1" si="158"/>
        <v>0</v>
      </c>
      <c r="N512" s="70">
        <f ca="1">IF(M512+AA512&lt;0.000001,0,IF(AND(K512&gt;0,入力設定!$B$8="期間短縮型",AA512&lt;0.000001,F512&gt;M512*C512/12),MAX(1,MIN(E512-1,IF(C512=0,ROUNDUP(M512/F512,0),ROUNDUP(-LN(1-M512*(C512/12)/F512)/LN(1+C512/12),0)))),MAX(1,E512-1)))</f>
        <v>0</v>
      </c>
      <c r="O512" s="70">
        <f t="shared" ca="1" si="159"/>
        <v>0</v>
      </c>
      <c r="P512" s="70">
        <f t="shared" ca="1" si="173"/>
        <v>0</v>
      </c>
      <c r="Q512" s="70">
        <f ca="1">IF(OR(A512&gt;入力設定!$B$6*12,P512+AC512&lt;0.000001),0,IF(P512&lt;0.000001,Q511,IF(AE512=1,IF(C512=0,P512/MAX(1,入力設定!$B$6*12-A512+1),P512*(C512/12)/(1-(1+C512/12)^(-MAX(1,入力設定!$B$6*12-A512+1)))),Q511)))</f>
        <v>0</v>
      </c>
      <c r="R512" s="70">
        <f ca="1">IF(P512+AC512&lt;0.000001,0,IF(A512=入力設定!$B$6*12,P512+AB512+AC512,MIN(Q512,P512+AB512+AC512)))</f>
        <v>0</v>
      </c>
      <c r="S512" s="70">
        <f t="shared" ca="1" si="160"/>
        <v>0</v>
      </c>
      <c r="T512" s="70">
        <f t="shared" ca="1" si="161"/>
        <v>0</v>
      </c>
      <c r="U512" s="70">
        <f t="shared" ca="1" si="162"/>
        <v>0</v>
      </c>
      <c r="V512" s="70">
        <f t="shared" ca="1" si="163"/>
        <v>0</v>
      </c>
      <c r="W512" s="70">
        <f t="shared" ca="1" si="164"/>
        <v>0</v>
      </c>
      <c r="X512" s="70">
        <f t="shared" ca="1" si="165"/>
        <v>0</v>
      </c>
      <c r="Y512" s="71">
        <f t="shared" ca="1" si="166"/>
        <v>0</v>
      </c>
      <c r="Z512" s="71">
        <f t="shared" ca="1" si="174"/>
        <v>0</v>
      </c>
      <c r="AA512" s="71">
        <f t="shared" ca="1" si="167"/>
        <v>0</v>
      </c>
      <c r="AB512" s="71">
        <f t="shared" ca="1" si="168"/>
        <v>0</v>
      </c>
      <c r="AC512" s="71">
        <f t="shared" ca="1" si="175"/>
        <v>0</v>
      </c>
      <c r="AD512" s="71">
        <f t="shared" ca="1" si="169"/>
        <v>0</v>
      </c>
      <c r="AE512" s="72">
        <f t="shared" si="170"/>
        <v>0</v>
      </c>
      <c r="AF512" s="73">
        <f>IF(A512&gt;入力設定!$B$6*12,0,IF(AND(ISNUMBER(C512),C512&gt;=0,C512&lt;=1),0,1))</f>
        <v>0</v>
      </c>
    </row>
    <row r="513" spans="1:32" ht="21" customHeight="1">
      <c r="A513" s="68">
        <f>508</f>
        <v>508</v>
      </c>
      <c r="B513" s="69">
        <f>EDATE(入力設定!$B$7,A513-1)</f>
        <v>61760</v>
      </c>
      <c r="C513" s="80">
        <f>INDEX(入力設定!$C$15:$C$24,INT((A513-1)/60)+1)</f>
        <v>0.05</v>
      </c>
      <c r="D513" s="70">
        <f t="shared" ca="1" si="171"/>
        <v>0</v>
      </c>
      <c r="E513" s="70">
        <f t="shared" ca="1" si="172"/>
        <v>0</v>
      </c>
      <c r="F513" s="70">
        <f ca="1">IF(D513+Z513&lt;0.000001,0,IF(D513&lt;0.000001,F512,IF(OR(AE513=1,AND(K512&gt;0,入力設定!$B$8="返済額軽減型",入力設定!$B$11="翌月")),IF(C513=0,D513/MAX(1,E513),D513*(C513/12)/(1-(1+C513/12)^(-MAX(1,E513)))),F512)))</f>
        <v>0</v>
      </c>
      <c r="G513" s="70">
        <f t="shared" ca="1" si="154"/>
        <v>0</v>
      </c>
      <c r="H513" s="70">
        <f t="shared" ca="1" si="155"/>
        <v>0</v>
      </c>
      <c r="I513" s="70">
        <f t="shared" ca="1" si="156"/>
        <v>0</v>
      </c>
      <c r="J513" s="70">
        <f>SUMIFS(入力設定!$G$5:$G$24,入力設定!$F$5:$F$24,A513)</f>
        <v>0</v>
      </c>
      <c r="K513" s="70">
        <f t="shared" ca="1" si="157"/>
        <v>0</v>
      </c>
      <c r="L513" s="70">
        <f ca="1">IF(K513&gt;0,入力設定!$B$9,0)</f>
        <v>0</v>
      </c>
      <c r="M513" s="70">
        <f t="shared" ca="1" si="158"/>
        <v>0</v>
      </c>
      <c r="N513" s="70">
        <f ca="1">IF(M513+AA513&lt;0.000001,0,IF(AND(K513&gt;0,入力設定!$B$8="期間短縮型",AA513&lt;0.000001,F513&gt;M513*C513/12),MAX(1,MIN(E513-1,IF(C513=0,ROUNDUP(M513/F513,0),ROUNDUP(-LN(1-M513*(C513/12)/F513)/LN(1+C513/12),0)))),MAX(1,E513-1)))</f>
        <v>0</v>
      </c>
      <c r="O513" s="70">
        <f t="shared" ca="1" si="159"/>
        <v>0</v>
      </c>
      <c r="P513" s="70">
        <f t="shared" ca="1" si="173"/>
        <v>0</v>
      </c>
      <c r="Q513" s="70">
        <f ca="1">IF(OR(A513&gt;入力設定!$B$6*12,P513+AC513&lt;0.000001),0,IF(P513&lt;0.000001,Q512,IF(AE513=1,IF(C513=0,P513/MAX(1,入力設定!$B$6*12-A513+1),P513*(C513/12)/(1-(1+C513/12)^(-MAX(1,入力設定!$B$6*12-A513+1)))),Q512)))</f>
        <v>0</v>
      </c>
      <c r="R513" s="70">
        <f ca="1">IF(P513+AC513&lt;0.000001,0,IF(A513=入力設定!$B$6*12,P513+AB513+AC513,MIN(Q513,P513+AB513+AC513)))</f>
        <v>0</v>
      </c>
      <c r="S513" s="70">
        <f t="shared" ca="1" si="160"/>
        <v>0</v>
      </c>
      <c r="T513" s="70">
        <f t="shared" ca="1" si="161"/>
        <v>0</v>
      </c>
      <c r="U513" s="70">
        <f t="shared" ca="1" si="162"/>
        <v>0</v>
      </c>
      <c r="V513" s="70">
        <f t="shared" ca="1" si="163"/>
        <v>0</v>
      </c>
      <c r="W513" s="70">
        <f t="shared" ca="1" si="164"/>
        <v>0</v>
      </c>
      <c r="X513" s="70">
        <f t="shared" ca="1" si="165"/>
        <v>0</v>
      </c>
      <c r="Y513" s="71">
        <f t="shared" ca="1" si="166"/>
        <v>0</v>
      </c>
      <c r="Z513" s="71">
        <f t="shared" ca="1" si="174"/>
        <v>0</v>
      </c>
      <c r="AA513" s="71">
        <f t="shared" ca="1" si="167"/>
        <v>0</v>
      </c>
      <c r="AB513" s="71">
        <f t="shared" ca="1" si="168"/>
        <v>0</v>
      </c>
      <c r="AC513" s="71">
        <f t="shared" ca="1" si="175"/>
        <v>0</v>
      </c>
      <c r="AD513" s="71">
        <f t="shared" ca="1" si="169"/>
        <v>0</v>
      </c>
      <c r="AE513" s="72">
        <f t="shared" si="170"/>
        <v>0</v>
      </c>
      <c r="AF513" s="73">
        <f>IF(A513&gt;入力設定!$B$6*12,0,IF(AND(ISNUMBER(C513),C513&gt;=0,C513&lt;=1),0,1))</f>
        <v>0</v>
      </c>
    </row>
    <row r="514" spans="1:32" ht="21" customHeight="1">
      <c r="A514" s="68">
        <f>509</f>
        <v>509</v>
      </c>
      <c r="B514" s="69">
        <f>EDATE(入力設定!$B$7,A514-1)</f>
        <v>61788</v>
      </c>
      <c r="C514" s="80">
        <f>INDEX(入力設定!$C$15:$C$24,INT((A514-1)/60)+1)</f>
        <v>0.05</v>
      </c>
      <c r="D514" s="70">
        <f t="shared" ca="1" si="171"/>
        <v>0</v>
      </c>
      <c r="E514" s="70">
        <f t="shared" ca="1" si="172"/>
        <v>0</v>
      </c>
      <c r="F514" s="70">
        <f ca="1">IF(D514+Z514&lt;0.000001,0,IF(D514&lt;0.000001,F513,IF(OR(AE514=1,AND(K513&gt;0,入力設定!$B$8="返済額軽減型",入力設定!$B$11="翌月")),IF(C514=0,D514/MAX(1,E514),D514*(C514/12)/(1-(1+C514/12)^(-MAX(1,E514)))),F513)))</f>
        <v>0</v>
      </c>
      <c r="G514" s="70">
        <f t="shared" ca="1" si="154"/>
        <v>0</v>
      </c>
      <c r="H514" s="70">
        <f t="shared" ca="1" si="155"/>
        <v>0</v>
      </c>
      <c r="I514" s="70">
        <f t="shared" ca="1" si="156"/>
        <v>0</v>
      </c>
      <c r="J514" s="70">
        <f>SUMIFS(入力設定!$G$5:$G$24,入力設定!$F$5:$F$24,A514)</f>
        <v>0</v>
      </c>
      <c r="K514" s="70">
        <f t="shared" ca="1" si="157"/>
        <v>0</v>
      </c>
      <c r="L514" s="70">
        <f ca="1">IF(K514&gt;0,入力設定!$B$9,0)</f>
        <v>0</v>
      </c>
      <c r="M514" s="70">
        <f t="shared" ca="1" si="158"/>
        <v>0</v>
      </c>
      <c r="N514" s="70">
        <f ca="1">IF(M514+AA514&lt;0.000001,0,IF(AND(K514&gt;0,入力設定!$B$8="期間短縮型",AA514&lt;0.000001,F514&gt;M514*C514/12),MAX(1,MIN(E514-1,IF(C514=0,ROUNDUP(M514/F514,0),ROUNDUP(-LN(1-M514*(C514/12)/F514)/LN(1+C514/12),0)))),MAX(1,E514-1)))</f>
        <v>0</v>
      </c>
      <c r="O514" s="70">
        <f t="shared" ca="1" si="159"/>
        <v>0</v>
      </c>
      <c r="P514" s="70">
        <f t="shared" ca="1" si="173"/>
        <v>0</v>
      </c>
      <c r="Q514" s="70">
        <f ca="1">IF(OR(A514&gt;入力設定!$B$6*12,P514+AC514&lt;0.000001),0,IF(P514&lt;0.000001,Q513,IF(AE514=1,IF(C514=0,P514/MAX(1,入力設定!$B$6*12-A514+1),P514*(C514/12)/(1-(1+C514/12)^(-MAX(1,入力設定!$B$6*12-A514+1)))),Q513)))</f>
        <v>0</v>
      </c>
      <c r="R514" s="70">
        <f ca="1">IF(P514+AC514&lt;0.000001,0,IF(A514=入力設定!$B$6*12,P514+AB514+AC514,MIN(Q514,P514+AB514+AC514)))</f>
        <v>0</v>
      </c>
      <c r="S514" s="70">
        <f t="shared" ca="1" si="160"/>
        <v>0</v>
      </c>
      <c r="T514" s="70">
        <f t="shared" ca="1" si="161"/>
        <v>0</v>
      </c>
      <c r="U514" s="70">
        <f t="shared" ca="1" si="162"/>
        <v>0</v>
      </c>
      <c r="V514" s="70">
        <f t="shared" ca="1" si="163"/>
        <v>0</v>
      </c>
      <c r="W514" s="70">
        <f t="shared" ca="1" si="164"/>
        <v>0</v>
      </c>
      <c r="X514" s="70">
        <f t="shared" ca="1" si="165"/>
        <v>0</v>
      </c>
      <c r="Y514" s="71">
        <f t="shared" ca="1" si="166"/>
        <v>0</v>
      </c>
      <c r="Z514" s="71">
        <f t="shared" ca="1" si="174"/>
        <v>0</v>
      </c>
      <c r="AA514" s="71">
        <f t="shared" ca="1" si="167"/>
        <v>0</v>
      </c>
      <c r="AB514" s="71">
        <f t="shared" ca="1" si="168"/>
        <v>0</v>
      </c>
      <c r="AC514" s="71">
        <f t="shared" ca="1" si="175"/>
        <v>0</v>
      </c>
      <c r="AD514" s="71">
        <f t="shared" ca="1" si="169"/>
        <v>0</v>
      </c>
      <c r="AE514" s="72">
        <f t="shared" si="170"/>
        <v>0</v>
      </c>
      <c r="AF514" s="73">
        <f>IF(A514&gt;入力設定!$B$6*12,0,IF(AND(ISNUMBER(C514),C514&gt;=0,C514&lt;=1),0,1))</f>
        <v>0</v>
      </c>
    </row>
    <row r="515" spans="1:32" ht="21" customHeight="1">
      <c r="A515" s="68">
        <f>510</f>
        <v>510</v>
      </c>
      <c r="B515" s="69">
        <f>EDATE(入力設定!$B$7,A515-1)</f>
        <v>61819</v>
      </c>
      <c r="C515" s="80">
        <f>INDEX(入力設定!$C$15:$C$24,INT((A515-1)/60)+1)</f>
        <v>0.05</v>
      </c>
      <c r="D515" s="70">
        <f t="shared" ca="1" si="171"/>
        <v>0</v>
      </c>
      <c r="E515" s="70">
        <f t="shared" ca="1" si="172"/>
        <v>0</v>
      </c>
      <c r="F515" s="70">
        <f ca="1">IF(D515+Z515&lt;0.000001,0,IF(D515&lt;0.000001,F514,IF(OR(AE515=1,AND(K514&gt;0,入力設定!$B$8="返済額軽減型",入力設定!$B$11="翌月")),IF(C515=0,D515/MAX(1,E515),D515*(C515/12)/(1-(1+C515/12)^(-MAX(1,E515)))),F514)))</f>
        <v>0</v>
      </c>
      <c r="G515" s="70">
        <f t="shared" ca="1" si="154"/>
        <v>0</v>
      </c>
      <c r="H515" s="70">
        <f t="shared" ca="1" si="155"/>
        <v>0</v>
      </c>
      <c r="I515" s="70">
        <f t="shared" ca="1" si="156"/>
        <v>0</v>
      </c>
      <c r="J515" s="70">
        <f>SUMIFS(入力設定!$G$5:$G$24,入力設定!$F$5:$F$24,A515)</f>
        <v>0</v>
      </c>
      <c r="K515" s="70">
        <f t="shared" ca="1" si="157"/>
        <v>0</v>
      </c>
      <c r="L515" s="70">
        <f ca="1">IF(K515&gt;0,入力設定!$B$9,0)</f>
        <v>0</v>
      </c>
      <c r="M515" s="70">
        <f t="shared" ca="1" si="158"/>
        <v>0</v>
      </c>
      <c r="N515" s="70">
        <f ca="1">IF(M515+AA515&lt;0.000001,0,IF(AND(K515&gt;0,入力設定!$B$8="期間短縮型",AA515&lt;0.000001,F515&gt;M515*C515/12),MAX(1,MIN(E515-1,IF(C515=0,ROUNDUP(M515/F515,0),ROUNDUP(-LN(1-M515*(C515/12)/F515)/LN(1+C515/12),0)))),MAX(1,E515-1)))</f>
        <v>0</v>
      </c>
      <c r="O515" s="70">
        <f t="shared" ca="1" si="159"/>
        <v>0</v>
      </c>
      <c r="P515" s="70">
        <f t="shared" ca="1" si="173"/>
        <v>0</v>
      </c>
      <c r="Q515" s="70">
        <f ca="1">IF(OR(A515&gt;入力設定!$B$6*12,P515+AC515&lt;0.000001),0,IF(P515&lt;0.000001,Q514,IF(AE515=1,IF(C515=0,P515/MAX(1,入力設定!$B$6*12-A515+1),P515*(C515/12)/(1-(1+C515/12)^(-MAX(1,入力設定!$B$6*12-A515+1)))),Q514)))</f>
        <v>0</v>
      </c>
      <c r="R515" s="70">
        <f ca="1">IF(P515+AC515&lt;0.000001,0,IF(A515=入力設定!$B$6*12,P515+AB515+AC515,MIN(Q515,P515+AB515+AC515)))</f>
        <v>0</v>
      </c>
      <c r="S515" s="70">
        <f t="shared" ca="1" si="160"/>
        <v>0</v>
      </c>
      <c r="T515" s="70">
        <f t="shared" ca="1" si="161"/>
        <v>0</v>
      </c>
      <c r="U515" s="70">
        <f t="shared" ca="1" si="162"/>
        <v>0</v>
      </c>
      <c r="V515" s="70">
        <f t="shared" ca="1" si="163"/>
        <v>0</v>
      </c>
      <c r="W515" s="70">
        <f t="shared" ca="1" si="164"/>
        <v>0</v>
      </c>
      <c r="X515" s="70">
        <f t="shared" ca="1" si="165"/>
        <v>0</v>
      </c>
      <c r="Y515" s="71">
        <f t="shared" ca="1" si="166"/>
        <v>0</v>
      </c>
      <c r="Z515" s="71">
        <f t="shared" ca="1" si="174"/>
        <v>0</v>
      </c>
      <c r="AA515" s="71">
        <f t="shared" ca="1" si="167"/>
        <v>0</v>
      </c>
      <c r="AB515" s="71">
        <f t="shared" ca="1" si="168"/>
        <v>0</v>
      </c>
      <c r="AC515" s="71">
        <f t="shared" ca="1" si="175"/>
        <v>0</v>
      </c>
      <c r="AD515" s="71">
        <f t="shared" ca="1" si="169"/>
        <v>0</v>
      </c>
      <c r="AE515" s="72">
        <f t="shared" si="170"/>
        <v>0</v>
      </c>
      <c r="AF515" s="73">
        <f>IF(A515&gt;入力設定!$B$6*12,0,IF(AND(ISNUMBER(C515),C515&gt;=0,C515&lt;=1),0,1))</f>
        <v>0</v>
      </c>
    </row>
    <row r="516" spans="1:32" ht="21" customHeight="1">
      <c r="A516" s="68">
        <f>511</f>
        <v>511</v>
      </c>
      <c r="B516" s="69">
        <f>EDATE(入力設定!$B$7,A516-1)</f>
        <v>61849</v>
      </c>
      <c r="C516" s="80">
        <f>INDEX(入力設定!$C$15:$C$24,INT((A516-1)/60)+1)</f>
        <v>0.05</v>
      </c>
      <c r="D516" s="70">
        <f t="shared" ca="1" si="171"/>
        <v>0</v>
      </c>
      <c r="E516" s="70">
        <f t="shared" ca="1" si="172"/>
        <v>0</v>
      </c>
      <c r="F516" s="70">
        <f ca="1">IF(D516+Z516&lt;0.000001,0,IF(D516&lt;0.000001,F515,IF(OR(AE516=1,AND(K515&gt;0,入力設定!$B$8="返済額軽減型",入力設定!$B$11="翌月")),IF(C516=0,D516/MAX(1,E516),D516*(C516/12)/(1-(1+C516/12)^(-MAX(1,E516)))),F515)))</f>
        <v>0</v>
      </c>
      <c r="G516" s="70">
        <f t="shared" ca="1" si="154"/>
        <v>0</v>
      </c>
      <c r="H516" s="70">
        <f t="shared" ca="1" si="155"/>
        <v>0</v>
      </c>
      <c r="I516" s="70">
        <f t="shared" ca="1" si="156"/>
        <v>0</v>
      </c>
      <c r="J516" s="70">
        <f>SUMIFS(入力設定!$G$5:$G$24,入力設定!$F$5:$F$24,A516)</f>
        <v>0</v>
      </c>
      <c r="K516" s="70">
        <f t="shared" ca="1" si="157"/>
        <v>0</v>
      </c>
      <c r="L516" s="70">
        <f ca="1">IF(K516&gt;0,入力設定!$B$9,0)</f>
        <v>0</v>
      </c>
      <c r="M516" s="70">
        <f t="shared" ca="1" si="158"/>
        <v>0</v>
      </c>
      <c r="N516" s="70">
        <f ca="1">IF(M516+AA516&lt;0.000001,0,IF(AND(K516&gt;0,入力設定!$B$8="期間短縮型",AA516&lt;0.000001,F516&gt;M516*C516/12),MAX(1,MIN(E516-1,IF(C516=0,ROUNDUP(M516/F516,0),ROUNDUP(-LN(1-M516*(C516/12)/F516)/LN(1+C516/12),0)))),MAX(1,E516-1)))</f>
        <v>0</v>
      </c>
      <c r="O516" s="70">
        <f t="shared" ca="1" si="159"/>
        <v>0</v>
      </c>
      <c r="P516" s="70">
        <f t="shared" ca="1" si="173"/>
        <v>0</v>
      </c>
      <c r="Q516" s="70">
        <f ca="1">IF(OR(A516&gt;入力設定!$B$6*12,P516+AC516&lt;0.000001),0,IF(P516&lt;0.000001,Q515,IF(AE516=1,IF(C516=0,P516/MAX(1,入力設定!$B$6*12-A516+1),P516*(C516/12)/(1-(1+C516/12)^(-MAX(1,入力設定!$B$6*12-A516+1)))),Q515)))</f>
        <v>0</v>
      </c>
      <c r="R516" s="70">
        <f ca="1">IF(P516+AC516&lt;0.000001,0,IF(A516=入力設定!$B$6*12,P516+AB516+AC516,MIN(Q516,P516+AB516+AC516)))</f>
        <v>0</v>
      </c>
      <c r="S516" s="70">
        <f t="shared" ca="1" si="160"/>
        <v>0</v>
      </c>
      <c r="T516" s="70">
        <f t="shared" ca="1" si="161"/>
        <v>0</v>
      </c>
      <c r="U516" s="70">
        <f t="shared" ca="1" si="162"/>
        <v>0</v>
      </c>
      <c r="V516" s="70">
        <f t="shared" ca="1" si="163"/>
        <v>0</v>
      </c>
      <c r="W516" s="70">
        <f t="shared" ca="1" si="164"/>
        <v>0</v>
      </c>
      <c r="X516" s="70">
        <f t="shared" ca="1" si="165"/>
        <v>0</v>
      </c>
      <c r="Y516" s="71">
        <f t="shared" ca="1" si="166"/>
        <v>0</v>
      </c>
      <c r="Z516" s="71">
        <f t="shared" ca="1" si="174"/>
        <v>0</v>
      </c>
      <c r="AA516" s="71">
        <f t="shared" ca="1" si="167"/>
        <v>0</v>
      </c>
      <c r="AB516" s="71">
        <f t="shared" ca="1" si="168"/>
        <v>0</v>
      </c>
      <c r="AC516" s="71">
        <f t="shared" ca="1" si="175"/>
        <v>0</v>
      </c>
      <c r="AD516" s="71">
        <f t="shared" ca="1" si="169"/>
        <v>0</v>
      </c>
      <c r="AE516" s="72">
        <f t="shared" si="170"/>
        <v>0</v>
      </c>
      <c r="AF516" s="73">
        <f>IF(A516&gt;入力設定!$B$6*12,0,IF(AND(ISNUMBER(C516),C516&gt;=0,C516&lt;=1),0,1))</f>
        <v>0</v>
      </c>
    </row>
    <row r="517" spans="1:32" ht="21" customHeight="1">
      <c r="A517" s="68">
        <f>512</f>
        <v>512</v>
      </c>
      <c r="B517" s="69">
        <f>EDATE(入力設定!$B$7,A517-1)</f>
        <v>61880</v>
      </c>
      <c r="C517" s="80">
        <f>INDEX(入力設定!$C$15:$C$24,INT((A517-1)/60)+1)</f>
        <v>0.05</v>
      </c>
      <c r="D517" s="70">
        <f t="shared" ca="1" si="171"/>
        <v>0</v>
      </c>
      <c r="E517" s="70">
        <f t="shared" ca="1" si="172"/>
        <v>0</v>
      </c>
      <c r="F517" s="70">
        <f ca="1">IF(D517+Z517&lt;0.000001,0,IF(D517&lt;0.000001,F516,IF(OR(AE517=1,AND(K516&gt;0,入力設定!$B$8="返済額軽減型",入力設定!$B$11="翌月")),IF(C517=0,D517/MAX(1,E517),D517*(C517/12)/(1-(1+C517/12)^(-MAX(1,E517)))),F516)))</f>
        <v>0</v>
      </c>
      <c r="G517" s="70">
        <f t="shared" ca="1" si="154"/>
        <v>0</v>
      </c>
      <c r="H517" s="70">
        <f t="shared" ca="1" si="155"/>
        <v>0</v>
      </c>
      <c r="I517" s="70">
        <f t="shared" ca="1" si="156"/>
        <v>0</v>
      </c>
      <c r="J517" s="70">
        <f>SUMIFS(入力設定!$G$5:$G$24,入力設定!$F$5:$F$24,A517)</f>
        <v>0</v>
      </c>
      <c r="K517" s="70">
        <f t="shared" ca="1" si="157"/>
        <v>0</v>
      </c>
      <c r="L517" s="70">
        <f ca="1">IF(K517&gt;0,入力設定!$B$9,0)</f>
        <v>0</v>
      </c>
      <c r="M517" s="70">
        <f t="shared" ca="1" si="158"/>
        <v>0</v>
      </c>
      <c r="N517" s="70">
        <f ca="1">IF(M517+AA517&lt;0.000001,0,IF(AND(K517&gt;0,入力設定!$B$8="期間短縮型",AA517&lt;0.000001,F517&gt;M517*C517/12),MAX(1,MIN(E517-1,IF(C517=0,ROUNDUP(M517/F517,0),ROUNDUP(-LN(1-M517*(C517/12)/F517)/LN(1+C517/12),0)))),MAX(1,E517-1)))</f>
        <v>0</v>
      </c>
      <c r="O517" s="70">
        <f t="shared" ca="1" si="159"/>
        <v>0</v>
      </c>
      <c r="P517" s="70">
        <f t="shared" ca="1" si="173"/>
        <v>0</v>
      </c>
      <c r="Q517" s="70">
        <f ca="1">IF(OR(A517&gt;入力設定!$B$6*12,P517+AC517&lt;0.000001),0,IF(P517&lt;0.000001,Q516,IF(AE517=1,IF(C517=0,P517/MAX(1,入力設定!$B$6*12-A517+1),P517*(C517/12)/(1-(1+C517/12)^(-MAX(1,入力設定!$B$6*12-A517+1)))),Q516)))</f>
        <v>0</v>
      </c>
      <c r="R517" s="70">
        <f ca="1">IF(P517+AC517&lt;0.000001,0,IF(A517=入力設定!$B$6*12,P517+AB517+AC517,MIN(Q517,P517+AB517+AC517)))</f>
        <v>0</v>
      </c>
      <c r="S517" s="70">
        <f t="shared" ca="1" si="160"/>
        <v>0</v>
      </c>
      <c r="T517" s="70">
        <f t="shared" ca="1" si="161"/>
        <v>0</v>
      </c>
      <c r="U517" s="70">
        <f t="shared" ca="1" si="162"/>
        <v>0</v>
      </c>
      <c r="V517" s="70">
        <f t="shared" ca="1" si="163"/>
        <v>0</v>
      </c>
      <c r="W517" s="70">
        <f t="shared" ca="1" si="164"/>
        <v>0</v>
      </c>
      <c r="X517" s="70">
        <f t="shared" ca="1" si="165"/>
        <v>0</v>
      </c>
      <c r="Y517" s="71">
        <f t="shared" ca="1" si="166"/>
        <v>0</v>
      </c>
      <c r="Z517" s="71">
        <f t="shared" ca="1" si="174"/>
        <v>0</v>
      </c>
      <c r="AA517" s="71">
        <f t="shared" ca="1" si="167"/>
        <v>0</v>
      </c>
      <c r="AB517" s="71">
        <f t="shared" ca="1" si="168"/>
        <v>0</v>
      </c>
      <c r="AC517" s="71">
        <f t="shared" ca="1" si="175"/>
        <v>0</v>
      </c>
      <c r="AD517" s="71">
        <f t="shared" ca="1" si="169"/>
        <v>0</v>
      </c>
      <c r="AE517" s="72">
        <f t="shared" si="170"/>
        <v>0</v>
      </c>
      <c r="AF517" s="73">
        <f>IF(A517&gt;入力設定!$B$6*12,0,IF(AND(ISNUMBER(C517),C517&gt;=0,C517&lt;=1),0,1))</f>
        <v>0</v>
      </c>
    </row>
    <row r="518" spans="1:32" ht="21" customHeight="1">
      <c r="A518" s="68">
        <f>513</f>
        <v>513</v>
      </c>
      <c r="B518" s="69">
        <f>EDATE(入力設定!$B$7,A518-1)</f>
        <v>61910</v>
      </c>
      <c r="C518" s="80">
        <f>INDEX(入力設定!$C$15:$C$24,INT((A518-1)/60)+1)</f>
        <v>0.05</v>
      </c>
      <c r="D518" s="70">
        <f t="shared" ca="1" si="171"/>
        <v>0</v>
      </c>
      <c r="E518" s="70">
        <f t="shared" ca="1" si="172"/>
        <v>0</v>
      </c>
      <c r="F518" s="70">
        <f ca="1">IF(D518+Z518&lt;0.000001,0,IF(D518&lt;0.000001,F517,IF(OR(AE518=1,AND(K517&gt;0,入力設定!$B$8="返済額軽減型",入力設定!$B$11="翌月")),IF(C518=0,D518/MAX(1,E518),D518*(C518/12)/(1-(1+C518/12)^(-MAX(1,E518)))),F517)))</f>
        <v>0</v>
      </c>
      <c r="G518" s="70">
        <f t="shared" ref="G518:G581" ca="1" si="176">IF(D518+Z518&lt;0.000001,0,IF(E518&lt;=1,D518+Y518+Z518,MIN(D518+Y518+Z518,F518)))</f>
        <v>0</v>
      </c>
      <c r="H518" s="70">
        <f t="shared" ref="H518:H581" ca="1" si="177">MIN(G518,Y518+Z518)</f>
        <v>0</v>
      </c>
      <c r="I518" s="70">
        <f t="shared" ref="I518:I581" ca="1" si="178">G518-H518</f>
        <v>0</v>
      </c>
      <c r="J518" s="70">
        <f>SUMIFS(入力設定!$G$5:$G$24,入力設定!$F$5:$F$24,A518)</f>
        <v>0</v>
      </c>
      <c r="K518" s="70">
        <f t="shared" ref="K518:K581" ca="1" si="179">MIN(MAX(0,D518-I518),J518)</f>
        <v>0</v>
      </c>
      <c r="L518" s="70">
        <f ca="1">IF(K518&gt;0,入力設定!$B$9,0)</f>
        <v>0</v>
      </c>
      <c r="M518" s="70">
        <f t="shared" ref="M518:M581" ca="1" si="180">MAX(0,D518-I518-K518)</f>
        <v>0</v>
      </c>
      <c r="N518" s="70">
        <f ca="1">IF(M518+AA518&lt;0.000001,0,IF(AND(K518&gt;0,入力設定!$B$8="期間短縮型",AA518&lt;0.000001,F518&gt;M518*C518/12),MAX(1,MIN(E518-1,IF(C518=0,ROUNDUP(M518/F518,0),ROUNDUP(-LN(1-M518*(C518/12)/F518)/LN(1+C518/12),0)))),MAX(1,E518-1)))</f>
        <v>0</v>
      </c>
      <c r="O518" s="70">
        <f t="shared" ref="O518:O581" ca="1" si="181">SUM(G518,K518,L518)</f>
        <v>0</v>
      </c>
      <c r="P518" s="70">
        <f t="shared" ca="1" si="173"/>
        <v>0</v>
      </c>
      <c r="Q518" s="70">
        <f ca="1">IF(OR(A518&gt;入力設定!$B$6*12,P518+AC518&lt;0.000001),0,IF(P518&lt;0.000001,Q517,IF(AE518=1,IF(C518=0,P518/MAX(1,入力設定!$B$6*12-A518+1),P518*(C518/12)/(1-(1+C518/12)^(-MAX(1,入力設定!$B$6*12-A518+1)))),Q517)))</f>
        <v>0</v>
      </c>
      <c r="R518" s="70">
        <f ca="1">IF(P518+AC518&lt;0.000001,0,IF(A518=入力設定!$B$6*12,P518+AB518+AC518,MIN(Q518,P518+AB518+AC518)))</f>
        <v>0</v>
      </c>
      <c r="S518" s="70">
        <f t="shared" ref="S518:S581" ca="1" si="182">MIN(R518,AB518+AC518)</f>
        <v>0</v>
      </c>
      <c r="T518" s="70">
        <f t="shared" ref="T518:T581" ca="1" si="183">R518-S518</f>
        <v>0</v>
      </c>
      <c r="U518" s="70">
        <f t="shared" ref="U518:U581" ca="1" si="184">MAX(0,P518-T518)</f>
        <v>0</v>
      </c>
      <c r="V518" s="70">
        <f t="shared" ref="V518:V581" ca="1" si="185">D518-I518-K518-M518</f>
        <v>0</v>
      </c>
      <c r="W518" s="70">
        <f t="shared" ref="W518:W581" ca="1" si="186">P518-T518-U518</f>
        <v>0</v>
      </c>
      <c r="X518" s="70">
        <f t="shared" ref="X518:X581" ca="1" si="187">O518-G518-K518-L518</f>
        <v>0</v>
      </c>
      <c r="Y518" s="71">
        <f t="shared" ref="Y518:Y581" ca="1" si="188">D518*C518/12</f>
        <v>0</v>
      </c>
      <c r="Z518" s="71">
        <f t="shared" ca="1" si="174"/>
        <v>0</v>
      </c>
      <c r="AA518" s="71">
        <f t="shared" ref="AA518:AA581" ca="1" si="189">MAX(0,Z518+Y518-H518)</f>
        <v>0</v>
      </c>
      <c r="AB518" s="71">
        <f t="shared" ref="AB518:AB581" ca="1" si="190">P518*C518/12</f>
        <v>0</v>
      </c>
      <c r="AC518" s="71">
        <f t="shared" ca="1" si="175"/>
        <v>0</v>
      </c>
      <c r="AD518" s="71">
        <f t="shared" ref="AD518:AD581" ca="1" si="191">MAX(0,AC518+AB518-S518)</f>
        <v>0</v>
      </c>
      <c r="AE518" s="72">
        <f t="shared" ref="AE518:AE581" si="192">IF(MOD(A518-1,60)=0,1,0)</f>
        <v>0</v>
      </c>
      <c r="AF518" s="73">
        <f>IF(A518&gt;入力設定!$B$6*12,0,IF(AND(ISNUMBER(C518),C518&gt;=0,C518&lt;=1),0,1))</f>
        <v>0</v>
      </c>
    </row>
    <row r="519" spans="1:32" ht="21" customHeight="1">
      <c r="A519" s="68">
        <f>514</f>
        <v>514</v>
      </c>
      <c r="B519" s="69">
        <f>EDATE(入力設定!$B$7,A519-1)</f>
        <v>61941</v>
      </c>
      <c r="C519" s="80">
        <f>INDEX(入力設定!$C$15:$C$24,INT((A519-1)/60)+1)</f>
        <v>0.05</v>
      </c>
      <c r="D519" s="70">
        <f t="shared" ref="D519:D582" ca="1" si="193">M518</f>
        <v>0</v>
      </c>
      <c r="E519" s="70">
        <f t="shared" ref="E519:E582" ca="1" si="194">N518</f>
        <v>0</v>
      </c>
      <c r="F519" s="70">
        <f ca="1">IF(D519+Z519&lt;0.000001,0,IF(D519&lt;0.000001,F518,IF(OR(AE519=1,AND(K518&gt;0,入力設定!$B$8="返済額軽減型",入力設定!$B$11="翌月")),IF(C519=0,D519/MAX(1,E519),D519*(C519/12)/(1-(1+C519/12)^(-MAX(1,E519)))),F518)))</f>
        <v>0</v>
      </c>
      <c r="G519" s="70">
        <f t="shared" ca="1" si="176"/>
        <v>0</v>
      </c>
      <c r="H519" s="70">
        <f t="shared" ca="1" si="177"/>
        <v>0</v>
      </c>
      <c r="I519" s="70">
        <f t="shared" ca="1" si="178"/>
        <v>0</v>
      </c>
      <c r="J519" s="70">
        <f>SUMIFS(入力設定!$G$5:$G$24,入力設定!$F$5:$F$24,A519)</f>
        <v>0</v>
      </c>
      <c r="K519" s="70">
        <f t="shared" ca="1" si="179"/>
        <v>0</v>
      </c>
      <c r="L519" s="70">
        <f ca="1">IF(K519&gt;0,入力設定!$B$9,0)</f>
        <v>0</v>
      </c>
      <c r="M519" s="70">
        <f t="shared" ca="1" si="180"/>
        <v>0</v>
      </c>
      <c r="N519" s="70">
        <f ca="1">IF(M519+AA519&lt;0.000001,0,IF(AND(K519&gt;0,入力設定!$B$8="期間短縮型",AA519&lt;0.000001,F519&gt;M519*C519/12),MAX(1,MIN(E519-1,IF(C519=0,ROUNDUP(M519/F519,0),ROUNDUP(-LN(1-M519*(C519/12)/F519)/LN(1+C519/12),0)))),MAX(1,E519-1)))</f>
        <v>0</v>
      </c>
      <c r="O519" s="70">
        <f t="shared" ca="1" si="181"/>
        <v>0</v>
      </c>
      <c r="P519" s="70">
        <f t="shared" ref="P519:P582" ca="1" si="195">U518</f>
        <v>0</v>
      </c>
      <c r="Q519" s="70">
        <f ca="1">IF(OR(A519&gt;入力設定!$B$6*12,P519+AC519&lt;0.000001),0,IF(P519&lt;0.000001,Q518,IF(AE519=1,IF(C519=0,P519/MAX(1,入力設定!$B$6*12-A519+1),P519*(C519/12)/(1-(1+C519/12)^(-MAX(1,入力設定!$B$6*12-A519+1)))),Q518)))</f>
        <v>0</v>
      </c>
      <c r="R519" s="70">
        <f ca="1">IF(P519+AC519&lt;0.000001,0,IF(A519=入力設定!$B$6*12,P519+AB519+AC519,MIN(Q519,P519+AB519+AC519)))</f>
        <v>0</v>
      </c>
      <c r="S519" s="70">
        <f t="shared" ca="1" si="182"/>
        <v>0</v>
      </c>
      <c r="T519" s="70">
        <f t="shared" ca="1" si="183"/>
        <v>0</v>
      </c>
      <c r="U519" s="70">
        <f t="shared" ca="1" si="184"/>
        <v>0</v>
      </c>
      <c r="V519" s="70">
        <f t="shared" ca="1" si="185"/>
        <v>0</v>
      </c>
      <c r="W519" s="70">
        <f t="shared" ca="1" si="186"/>
        <v>0</v>
      </c>
      <c r="X519" s="70">
        <f t="shared" ca="1" si="187"/>
        <v>0</v>
      </c>
      <c r="Y519" s="71">
        <f t="shared" ca="1" si="188"/>
        <v>0</v>
      </c>
      <c r="Z519" s="71">
        <f t="shared" ref="Z519:Z582" ca="1" si="196">AA518</f>
        <v>0</v>
      </c>
      <c r="AA519" s="71">
        <f t="shared" ca="1" si="189"/>
        <v>0</v>
      </c>
      <c r="AB519" s="71">
        <f t="shared" ca="1" si="190"/>
        <v>0</v>
      </c>
      <c r="AC519" s="71">
        <f t="shared" ref="AC519:AC582" ca="1" si="197">AD518</f>
        <v>0</v>
      </c>
      <c r="AD519" s="71">
        <f t="shared" ca="1" si="191"/>
        <v>0</v>
      </c>
      <c r="AE519" s="72">
        <f t="shared" si="192"/>
        <v>0</v>
      </c>
      <c r="AF519" s="73">
        <f>IF(A519&gt;入力設定!$B$6*12,0,IF(AND(ISNUMBER(C519),C519&gt;=0,C519&lt;=1),0,1))</f>
        <v>0</v>
      </c>
    </row>
    <row r="520" spans="1:32" ht="21" customHeight="1">
      <c r="A520" s="68">
        <f>515</f>
        <v>515</v>
      </c>
      <c r="B520" s="69">
        <f>EDATE(入力設定!$B$7,A520-1)</f>
        <v>61972</v>
      </c>
      <c r="C520" s="80">
        <f>INDEX(入力設定!$C$15:$C$24,INT((A520-1)/60)+1)</f>
        <v>0.05</v>
      </c>
      <c r="D520" s="70">
        <f t="shared" ca="1" si="193"/>
        <v>0</v>
      </c>
      <c r="E520" s="70">
        <f t="shared" ca="1" si="194"/>
        <v>0</v>
      </c>
      <c r="F520" s="70">
        <f ca="1">IF(D520+Z520&lt;0.000001,0,IF(D520&lt;0.000001,F519,IF(OR(AE520=1,AND(K519&gt;0,入力設定!$B$8="返済額軽減型",入力設定!$B$11="翌月")),IF(C520=0,D520/MAX(1,E520),D520*(C520/12)/(1-(1+C520/12)^(-MAX(1,E520)))),F519)))</f>
        <v>0</v>
      </c>
      <c r="G520" s="70">
        <f t="shared" ca="1" si="176"/>
        <v>0</v>
      </c>
      <c r="H520" s="70">
        <f t="shared" ca="1" si="177"/>
        <v>0</v>
      </c>
      <c r="I520" s="70">
        <f t="shared" ca="1" si="178"/>
        <v>0</v>
      </c>
      <c r="J520" s="70">
        <f>SUMIFS(入力設定!$G$5:$G$24,入力設定!$F$5:$F$24,A520)</f>
        <v>0</v>
      </c>
      <c r="K520" s="70">
        <f t="shared" ca="1" si="179"/>
        <v>0</v>
      </c>
      <c r="L520" s="70">
        <f ca="1">IF(K520&gt;0,入力設定!$B$9,0)</f>
        <v>0</v>
      </c>
      <c r="M520" s="70">
        <f t="shared" ca="1" si="180"/>
        <v>0</v>
      </c>
      <c r="N520" s="70">
        <f ca="1">IF(M520+AA520&lt;0.000001,0,IF(AND(K520&gt;0,入力設定!$B$8="期間短縮型",AA520&lt;0.000001,F520&gt;M520*C520/12),MAX(1,MIN(E520-1,IF(C520=0,ROUNDUP(M520/F520,0),ROUNDUP(-LN(1-M520*(C520/12)/F520)/LN(1+C520/12),0)))),MAX(1,E520-1)))</f>
        <v>0</v>
      </c>
      <c r="O520" s="70">
        <f t="shared" ca="1" si="181"/>
        <v>0</v>
      </c>
      <c r="P520" s="70">
        <f t="shared" ca="1" si="195"/>
        <v>0</v>
      </c>
      <c r="Q520" s="70">
        <f ca="1">IF(OR(A520&gt;入力設定!$B$6*12,P520+AC520&lt;0.000001),0,IF(P520&lt;0.000001,Q519,IF(AE520=1,IF(C520=0,P520/MAX(1,入力設定!$B$6*12-A520+1),P520*(C520/12)/(1-(1+C520/12)^(-MAX(1,入力設定!$B$6*12-A520+1)))),Q519)))</f>
        <v>0</v>
      </c>
      <c r="R520" s="70">
        <f ca="1">IF(P520+AC520&lt;0.000001,0,IF(A520=入力設定!$B$6*12,P520+AB520+AC520,MIN(Q520,P520+AB520+AC520)))</f>
        <v>0</v>
      </c>
      <c r="S520" s="70">
        <f t="shared" ca="1" si="182"/>
        <v>0</v>
      </c>
      <c r="T520" s="70">
        <f t="shared" ca="1" si="183"/>
        <v>0</v>
      </c>
      <c r="U520" s="70">
        <f t="shared" ca="1" si="184"/>
        <v>0</v>
      </c>
      <c r="V520" s="70">
        <f t="shared" ca="1" si="185"/>
        <v>0</v>
      </c>
      <c r="W520" s="70">
        <f t="shared" ca="1" si="186"/>
        <v>0</v>
      </c>
      <c r="X520" s="70">
        <f t="shared" ca="1" si="187"/>
        <v>0</v>
      </c>
      <c r="Y520" s="71">
        <f t="shared" ca="1" si="188"/>
        <v>0</v>
      </c>
      <c r="Z520" s="71">
        <f t="shared" ca="1" si="196"/>
        <v>0</v>
      </c>
      <c r="AA520" s="71">
        <f t="shared" ca="1" si="189"/>
        <v>0</v>
      </c>
      <c r="AB520" s="71">
        <f t="shared" ca="1" si="190"/>
        <v>0</v>
      </c>
      <c r="AC520" s="71">
        <f t="shared" ca="1" si="197"/>
        <v>0</v>
      </c>
      <c r="AD520" s="71">
        <f t="shared" ca="1" si="191"/>
        <v>0</v>
      </c>
      <c r="AE520" s="72">
        <f t="shared" si="192"/>
        <v>0</v>
      </c>
      <c r="AF520" s="73">
        <f>IF(A520&gt;入力設定!$B$6*12,0,IF(AND(ISNUMBER(C520),C520&gt;=0,C520&lt;=1),0,1))</f>
        <v>0</v>
      </c>
    </row>
    <row r="521" spans="1:32" ht="21" customHeight="1">
      <c r="A521" s="68">
        <f>516</f>
        <v>516</v>
      </c>
      <c r="B521" s="69">
        <f>EDATE(入力設定!$B$7,A521-1)</f>
        <v>62002</v>
      </c>
      <c r="C521" s="80">
        <f>INDEX(入力設定!$C$15:$C$24,INT((A521-1)/60)+1)</f>
        <v>0.05</v>
      </c>
      <c r="D521" s="70">
        <f t="shared" ca="1" si="193"/>
        <v>0</v>
      </c>
      <c r="E521" s="70">
        <f t="shared" ca="1" si="194"/>
        <v>0</v>
      </c>
      <c r="F521" s="70">
        <f ca="1">IF(D521+Z521&lt;0.000001,0,IF(D521&lt;0.000001,F520,IF(OR(AE521=1,AND(K520&gt;0,入力設定!$B$8="返済額軽減型",入力設定!$B$11="翌月")),IF(C521=0,D521/MAX(1,E521),D521*(C521/12)/(1-(1+C521/12)^(-MAX(1,E521)))),F520)))</f>
        <v>0</v>
      </c>
      <c r="G521" s="70">
        <f t="shared" ca="1" si="176"/>
        <v>0</v>
      </c>
      <c r="H521" s="70">
        <f t="shared" ca="1" si="177"/>
        <v>0</v>
      </c>
      <c r="I521" s="70">
        <f t="shared" ca="1" si="178"/>
        <v>0</v>
      </c>
      <c r="J521" s="70">
        <f>SUMIFS(入力設定!$G$5:$G$24,入力設定!$F$5:$F$24,A521)</f>
        <v>0</v>
      </c>
      <c r="K521" s="70">
        <f t="shared" ca="1" si="179"/>
        <v>0</v>
      </c>
      <c r="L521" s="70">
        <f ca="1">IF(K521&gt;0,入力設定!$B$9,0)</f>
        <v>0</v>
      </c>
      <c r="M521" s="70">
        <f t="shared" ca="1" si="180"/>
        <v>0</v>
      </c>
      <c r="N521" s="70">
        <f ca="1">IF(M521+AA521&lt;0.000001,0,IF(AND(K521&gt;0,入力設定!$B$8="期間短縮型",AA521&lt;0.000001,F521&gt;M521*C521/12),MAX(1,MIN(E521-1,IF(C521=0,ROUNDUP(M521/F521,0),ROUNDUP(-LN(1-M521*(C521/12)/F521)/LN(1+C521/12),0)))),MAX(1,E521-1)))</f>
        <v>0</v>
      </c>
      <c r="O521" s="70">
        <f t="shared" ca="1" si="181"/>
        <v>0</v>
      </c>
      <c r="P521" s="70">
        <f t="shared" ca="1" si="195"/>
        <v>0</v>
      </c>
      <c r="Q521" s="70">
        <f ca="1">IF(OR(A521&gt;入力設定!$B$6*12,P521+AC521&lt;0.000001),0,IF(P521&lt;0.000001,Q520,IF(AE521=1,IF(C521=0,P521/MAX(1,入力設定!$B$6*12-A521+1),P521*(C521/12)/(1-(1+C521/12)^(-MAX(1,入力設定!$B$6*12-A521+1)))),Q520)))</f>
        <v>0</v>
      </c>
      <c r="R521" s="70">
        <f ca="1">IF(P521+AC521&lt;0.000001,0,IF(A521=入力設定!$B$6*12,P521+AB521+AC521,MIN(Q521,P521+AB521+AC521)))</f>
        <v>0</v>
      </c>
      <c r="S521" s="70">
        <f t="shared" ca="1" si="182"/>
        <v>0</v>
      </c>
      <c r="T521" s="70">
        <f t="shared" ca="1" si="183"/>
        <v>0</v>
      </c>
      <c r="U521" s="70">
        <f t="shared" ca="1" si="184"/>
        <v>0</v>
      </c>
      <c r="V521" s="70">
        <f t="shared" ca="1" si="185"/>
        <v>0</v>
      </c>
      <c r="W521" s="70">
        <f t="shared" ca="1" si="186"/>
        <v>0</v>
      </c>
      <c r="X521" s="70">
        <f t="shared" ca="1" si="187"/>
        <v>0</v>
      </c>
      <c r="Y521" s="71">
        <f t="shared" ca="1" si="188"/>
        <v>0</v>
      </c>
      <c r="Z521" s="71">
        <f t="shared" ca="1" si="196"/>
        <v>0</v>
      </c>
      <c r="AA521" s="71">
        <f t="shared" ca="1" si="189"/>
        <v>0</v>
      </c>
      <c r="AB521" s="71">
        <f t="shared" ca="1" si="190"/>
        <v>0</v>
      </c>
      <c r="AC521" s="71">
        <f t="shared" ca="1" si="197"/>
        <v>0</v>
      </c>
      <c r="AD521" s="71">
        <f t="shared" ca="1" si="191"/>
        <v>0</v>
      </c>
      <c r="AE521" s="72">
        <f t="shared" si="192"/>
        <v>0</v>
      </c>
      <c r="AF521" s="73">
        <f>IF(A521&gt;入力設定!$B$6*12,0,IF(AND(ISNUMBER(C521),C521&gt;=0,C521&lt;=1),0,1))</f>
        <v>0</v>
      </c>
    </row>
    <row r="522" spans="1:32" ht="21" customHeight="1">
      <c r="A522" s="68">
        <f>517</f>
        <v>517</v>
      </c>
      <c r="B522" s="69">
        <f>EDATE(入力設定!$B$7,A522-1)</f>
        <v>62033</v>
      </c>
      <c r="C522" s="80">
        <f>INDEX(入力設定!$C$15:$C$24,INT((A522-1)/60)+1)</f>
        <v>0.05</v>
      </c>
      <c r="D522" s="70">
        <f t="shared" ca="1" si="193"/>
        <v>0</v>
      </c>
      <c r="E522" s="70">
        <f t="shared" ca="1" si="194"/>
        <v>0</v>
      </c>
      <c r="F522" s="70">
        <f ca="1">IF(D522+Z522&lt;0.000001,0,IF(D522&lt;0.000001,F521,IF(OR(AE522=1,AND(K521&gt;0,入力設定!$B$8="返済額軽減型",入力設定!$B$11="翌月")),IF(C522=0,D522/MAX(1,E522),D522*(C522/12)/(1-(1+C522/12)^(-MAX(1,E522)))),F521)))</f>
        <v>0</v>
      </c>
      <c r="G522" s="70">
        <f t="shared" ca="1" si="176"/>
        <v>0</v>
      </c>
      <c r="H522" s="70">
        <f t="shared" ca="1" si="177"/>
        <v>0</v>
      </c>
      <c r="I522" s="70">
        <f t="shared" ca="1" si="178"/>
        <v>0</v>
      </c>
      <c r="J522" s="70">
        <f>SUMIFS(入力設定!$G$5:$G$24,入力設定!$F$5:$F$24,A522)</f>
        <v>0</v>
      </c>
      <c r="K522" s="70">
        <f t="shared" ca="1" si="179"/>
        <v>0</v>
      </c>
      <c r="L522" s="70">
        <f ca="1">IF(K522&gt;0,入力設定!$B$9,0)</f>
        <v>0</v>
      </c>
      <c r="M522" s="70">
        <f t="shared" ca="1" si="180"/>
        <v>0</v>
      </c>
      <c r="N522" s="70">
        <f ca="1">IF(M522+AA522&lt;0.000001,0,IF(AND(K522&gt;0,入力設定!$B$8="期間短縮型",AA522&lt;0.000001,F522&gt;M522*C522/12),MAX(1,MIN(E522-1,IF(C522=0,ROUNDUP(M522/F522,0),ROUNDUP(-LN(1-M522*(C522/12)/F522)/LN(1+C522/12),0)))),MAX(1,E522-1)))</f>
        <v>0</v>
      </c>
      <c r="O522" s="70">
        <f t="shared" ca="1" si="181"/>
        <v>0</v>
      </c>
      <c r="P522" s="70">
        <f t="shared" ca="1" si="195"/>
        <v>0</v>
      </c>
      <c r="Q522" s="70">
        <f ca="1">IF(OR(A522&gt;入力設定!$B$6*12,P522+AC522&lt;0.000001),0,IF(P522&lt;0.000001,Q521,IF(AE522=1,IF(C522=0,P522/MAX(1,入力設定!$B$6*12-A522+1),P522*(C522/12)/(1-(1+C522/12)^(-MAX(1,入力設定!$B$6*12-A522+1)))),Q521)))</f>
        <v>0</v>
      </c>
      <c r="R522" s="70">
        <f ca="1">IF(P522+AC522&lt;0.000001,0,IF(A522=入力設定!$B$6*12,P522+AB522+AC522,MIN(Q522,P522+AB522+AC522)))</f>
        <v>0</v>
      </c>
      <c r="S522" s="70">
        <f t="shared" ca="1" si="182"/>
        <v>0</v>
      </c>
      <c r="T522" s="70">
        <f t="shared" ca="1" si="183"/>
        <v>0</v>
      </c>
      <c r="U522" s="70">
        <f t="shared" ca="1" si="184"/>
        <v>0</v>
      </c>
      <c r="V522" s="70">
        <f t="shared" ca="1" si="185"/>
        <v>0</v>
      </c>
      <c r="W522" s="70">
        <f t="shared" ca="1" si="186"/>
        <v>0</v>
      </c>
      <c r="X522" s="70">
        <f t="shared" ca="1" si="187"/>
        <v>0</v>
      </c>
      <c r="Y522" s="71">
        <f t="shared" ca="1" si="188"/>
        <v>0</v>
      </c>
      <c r="Z522" s="71">
        <f t="shared" ca="1" si="196"/>
        <v>0</v>
      </c>
      <c r="AA522" s="71">
        <f t="shared" ca="1" si="189"/>
        <v>0</v>
      </c>
      <c r="AB522" s="71">
        <f t="shared" ca="1" si="190"/>
        <v>0</v>
      </c>
      <c r="AC522" s="71">
        <f t="shared" ca="1" si="197"/>
        <v>0</v>
      </c>
      <c r="AD522" s="71">
        <f t="shared" ca="1" si="191"/>
        <v>0</v>
      </c>
      <c r="AE522" s="72">
        <f t="shared" si="192"/>
        <v>0</v>
      </c>
      <c r="AF522" s="73">
        <f>IF(A522&gt;入力設定!$B$6*12,0,IF(AND(ISNUMBER(C522),C522&gt;=0,C522&lt;=1),0,1))</f>
        <v>0</v>
      </c>
    </row>
    <row r="523" spans="1:32" ht="21" customHeight="1">
      <c r="A523" s="68">
        <f>518</f>
        <v>518</v>
      </c>
      <c r="B523" s="69">
        <f>EDATE(入力設定!$B$7,A523-1)</f>
        <v>62063</v>
      </c>
      <c r="C523" s="80">
        <f>INDEX(入力設定!$C$15:$C$24,INT((A523-1)/60)+1)</f>
        <v>0.05</v>
      </c>
      <c r="D523" s="70">
        <f t="shared" ca="1" si="193"/>
        <v>0</v>
      </c>
      <c r="E523" s="70">
        <f t="shared" ca="1" si="194"/>
        <v>0</v>
      </c>
      <c r="F523" s="70">
        <f ca="1">IF(D523+Z523&lt;0.000001,0,IF(D523&lt;0.000001,F522,IF(OR(AE523=1,AND(K522&gt;0,入力設定!$B$8="返済額軽減型",入力設定!$B$11="翌月")),IF(C523=0,D523/MAX(1,E523),D523*(C523/12)/(1-(1+C523/12)^(-MAX(1,E523)))),F522)))</f>
        <v>0</v>
      </c>
      <c r="G523" s="70">
        <f t="shared" ca="1" si="176"/>
        <v>0</v>
      </c>
      <c r="H523" s="70">
        <f t="shared" ca="1" si="177"/>
        <v>0</v>
      </c>
      <c r="I523" s="70">
        <f t="shared" ca="1" si="178"/>
        <v>0</v>
      </c>
      <c r="J523" s="70">
        <f>SUMIFS(入力設定!$G$5:$G$24,入力設定!$F$5:$F$24,A523)</f>
        <v>0</v>
      </c>
      <c r="K523" s="70">
        <f t="shared" ca="1" si="179"/>
        <v>0</v>
      </c>
      <c r="L523" s="70">
        <f ca="1">IF(K523&gt;0,入力設定!$B$9,0)</f>
        <v>0</v>
      </c>
      <c r="M523" s="70">
        <f t="shared" ca="1" si="180"/>
        <v>0</v>
      </c>
      <c r="N523" s="70">
        <f ca="1">IF(M523+AA523&lt;0.000001,0,IF(AND(K523&gt;0,入力設定!$B$8="期間短縮型",AA523&lt;0.000001,F523&gt;M523*C523/12),MAX(1,MIN(E523-1,IF(C523=0,ROUNDUP(M523/F523,0),ROUNDUP(-LN(1-M523*(C523/12)/F523)/LN(1+C523/12),0)))),MAX(1,E523-1)))</f>
        <v>0</v>
      </c>
      <c r="O523" s="70">
        <f t="shared" ca="1" si="181"/>
        <v>0</v>
      </c>
      <c r="P523" s="70">
        <f t="shared" ca="1" si="195"/>
        <v>0</v>
      </c>
      <c r="Q523" s="70">
        <f ca="1">IF(OR(A523&gt;入力設定!$B$6*12,P523+AC523&lt;0.000001),0,IF(P523&lt;0.000001,Q522,IF(AE523=1,IF(C523=0,P523/MAX(1,入力設定!$B$6*12-A523+1),P523*(C523/12)/(1-(1+C523/12)^(-MAX(1,入力設定!$B$6*12-A523+1)))),Q522)))</f>
        <v>0</v>
      </c>
      <c r="R523" s="70">
        <f ca="1">IF(P523+AC523&lt;0.000001,0,IF(A523=入力設定!$B$6*12,P523+AB523+AC523,MIN(Q523,P523+AB523+AC523)))</f>
        <v>0</v>
      </c>
      <c r="S523" s="70">
        <f t="shared" ca="1" si="182"/>
        <v>0</v>
      </c>
      <c r="T523" s="70">
        <f t="shared" ca="1" si="183"/>
        <v>0</v>
      </c>
      <c r="U523" s="70">
        <f t="shared" ca="1" si="184"/>
        <v>0</v>
      </c>
      <c r="V523" s="70">
        <f t="shared" ca="1" si="185"/>
        <v>0</v>
      </c>
      <c r="W523" s="70">
        <f t="shared" ca="1" si="186"/>
        <v>0</v>
      </c>
      <c r="X523" s="70">
        <f t="shared" ca="1" si="187"/>
        <v>0</v>
      </c>
      <c r="Y523" s="71">
        <f t="shared" ca="1" si="188"/>
        <v>0</v>
      </c>
      <c r="Z523" s="71">
        <f t="shared" ca="1" si="196"/>
        <v>0</v>
      </c>
      <c r="AA523" s="71">
        <f t="shared" ca="1" si="189"/>
        <v>0</v>
      </c>
      <c r="AB523" s="71">
        <f t="shared" ca="1" si="190"/>
        <v>0</v>
      </c>
      <c r="AC523" s="71">
        <f t="shared" ca="1" si="197"/>
        <v>0</v>
      </c>
      <c r="AD523" s="71">
        <f t="shared" ca="1" si="191"/>
        <v>0</v>
      </c>
      <c r="AE523" s="72">
        <f t="shared" si="192"/>
        <v>0</v>
      </c>
      <c r="AF523" s="73">
        <f>IF(A523&gt;入力設定!$B$6*12,0,IF(AND(ISNUMBER(C523),C523&gt;=0,C523&lt;=1),0,1))</f>
        <v>0</v>
      </c>
    </row>
    <row r="524" spans="1:32" ht="21" customHeight="1">
      <c r="A524" s="68">
        <f>519</f>
        <v>519</v>
      </c>
      <c r="B524" s="69">
        <f>EDATE(入力設定!$B$7,A524-1)</f>
        <v>62094</v>
      </c>
      <c r="C524" s="80">
        <f>INDEX(入力設定!$C$15:$C$24,INT((A524-1)/60)+1)</f>
        <v>0.05</v>
      </c>
      <c r="D524" s="70">
        <f t="shared" ca="1" si="193"/>
        <v>0</v>
      </c>
      <c r="E524" s="70">
        <f t="shared" ca="1" si="194"/>
        <v>0</v>
      </c>
      <c r="F524" s="70">
        <f ca="1">IF(D524+Z524&lt;0.000001,0,IF(D524&lt;0.000001,F523,IF(OR(AE524=1,AND(K523&gt;0,入力設定!$B$8="返済額軽減型",入力設定!$B$11="翌月")),IF(C524=0,D524/MAX(1,E524),D524*(C524/12)/(1-(1+C524/12)^(-MAX(1,E524)))),F523)))</f>
        <v>0</v>
      </c>
      <c r="G524" s="70">
        <f t="shared" ca="1" si="176"/>
        <v>0</v>
      </c>
      <c r="H524" s="70">
        <f t="shared" ca="1" si="177"/>
        <v>0</v>
      </c>
      <c r="I524" s="70">
        <f t="shared" ca="1" si="178"/>
        <v>0</v>
      </c>
      <c r="J524" s="70">
        <f>SUMIFS(入力設定!$G$5:$G$24,入力設定!$F$5:$F$24,A524)</f>
        <v>0</v>
      </c>
      <c r="K524" s="70">
        <f t="shared" ca="1" si="179"/>
        <v>0</v>
      </c>
      <c r="L524" s="70">
        <f ca="1">IF(K524&gt;0,入力設定!$B$9,0)</f>
        <v>0</v>
      </c>
      <c r="M524" s="70">
        <f t="shared" ca="1" si="180"/>
        <v>0</v>
      </c>
      <c r="N524" s="70">
        <f ca="1">IF(M524+AA524&lt;0.000001,0,IF(AND(K524&gt;0,入力設定!$B$8="期間短縮型",AA524&lt;0.000001,F524&gt;M524*C524/12),MAX(1,MIN(E524-1,IF(C524=0,ROUNDUP(M524/F524,0),ROUNDUP(-LN(1-M524*(C524/12)/F524)/LN(1+C524/12),0)))),MAX(1,E524-1)))</f>
        <v>0</v>
      </c>
      <c r="O524" s="70">
        <f t="shared" ca="1" si="181"/>
        <v>0</v>
      </c>
      <c r="P524" s="70">
        <f t="shared" ca="1" si="195"/>
        <v>0</v>
      </c>
      <c r="Q524" s="70">
        <f ca="1">IF(OR(A524&gt;入力設定!$B$6*12,P524+AC524&lt;0.000001),0,IF(P524&lt;0.000001,Q523,IF(AE524=1,IF(C524=0,P524/MAX(1,入力設定!$B$6*12-A524+1),P524*(C524/12)/(1-(1+C524/12)^(-MAX(1,入力設定!$B$6*12-A524+1)))),Q523)))</f>
        <v>0</v>
      </c>
      <c r="R524" s="70">
        <f ca="1">IF(P524+AC524&lt;0.000001,0,IF(A524=入力設定!$B$6*12,P524+AB524+AC524,MIN(Q524,P524+AB524+AC524)))</f>
        <v>0</v>
      </c>
      <c r="S524" s="70">
        <f t="shared" ca="1" si="182"/>
        <v>0</v>
      </c>
      <c r="T524" s="70">
        <f t="shared" ca="1" si="183"/>
        <v>0</v>
      </c>
      <c r="U524" s="70">
        <f t="shared" ca="1" si="184"/>
        <v>0</v>
      </c>
      <c r="V524" s="70">
        <f t="shared" ca="1" si="185"/>
        <v>0</v>
      </c>
      <c r="W524" s="70">
        <f t="shared" ca="1" si="186"/>
        <v>0</v>
      </c>
      <c r="X524" s="70">
        <f t="shared" ca="1" si="187"/>
        <v>0</v>
      </c>
      <c r="Y524" s="71">
        <f t="shared" ca="1" si="188"/>
        <v>0</v>
      </c>
      <c r="Z524" s="71">
        <f t="shared" ca="1" si="196"/>
        <v>0</v>
      </c>
      <c r="AA524" s="71">
        <f t="shared" ca="1" si="189"/>
        <v>0</v>
      </c>
      <c r="AB524" s="71">
        <f t="shared" ca="1" si="190"/>
        <v>0</v>
      </c>
      <c r="AC524" s="71">
        <f t="shared" ca="1" si="197"/>
        <v>0</v>
      </c>
      <c r="AD524" s="71">
        <f t="shared" ca="1" si="191"/>
        <v>0</v>
      </c>
      <c r="AE524" s="72">
        <f t="shared" si="192"/>
        <v>0</v>
      </c>
      <c r="AF524" s="73">
        <f>IF(A524&gt;入力設定!$B$6*12,0,IF(AND(ISNUMBER(C524),C524&gt;=0,C524&lt;=1),0,1))</f>
        <v>0</v>
      </c>
    </row>
    <row r="525" spans="1:32" ht="21" customHeight="1">
      <c r="A525" s="68">
        <f>520</f>
        <v>520</v>
      </c>
      <c r="B525" s="69">
        <f>EDATE(入力設定!$B$7,A525-1)</f>
        <v>62125</v>
      </c>
      <c r="C525" s="80">
        <f>INDEX(入力設定!$C$15:$C$24,INT((A525-1)/60)+1)</f>
        <v>0.05</v>
      </c>
      <c r="D525" s="70">
        <f t="shared" ca="1" si="193"/>
        <v>0</v>
      </c>
      <c r="E525" s="70">
        <f t="shared" ca="1" si="194"/>
        <v>0</v>
      </c>
      <c r="F525" s="70">
        <f ca="1">IF(D525+Z525&lt;0.000001,0,IF(D525&lt;0.000001,F524,IF(OR(AE525=1,AND(K524&gt;0,入力設定!$B$8="返済額軽減型",入力設定!$B$11="翌月")),IF(C525=0,D525/MAX(1,E525),D525*(C525/12)/(1-(1+C525/12)^(-MAX(1,E525)))),F524)))</f>
        <v>0</v>
      </c>
      <c r="G525" s="70">
        <f t="shared" ca="1" si="176"/>
        <v>0</v>
      </c>
      <c r="H525" s="70">
        <f t="shared" ca="1" si="177"/>
        <v>0</v>
      </c>
      <c r="I525" s="70">
        <f t="shared" ca="1" si="178"/>
        <v>0</v>
      </c>
      <c r="J525" s="70">
        <f>SUMIFS(入力設定!$G$5:$G$24,入力設定!$F$5:$F$24,A525)</f>
        <v>0</v>
      </c>
      <c r="K525" s="70">
        <f t="shared" ca="1" si="179"/>
        <v>0</v>
      </c>
      <c r="L525" s="70">
        <f ca="1">IF(K525&gt;0,入力設定!$B$9,0)</f>
        <v>0</v>
      </c>
      <c r="M525" s="70">
        <f t="shared" ca="1" si="180"/>
        <v>0</v>
      </c>
      <c r="N525" s="70">
        <f ca="1">IF(M525+AA525&lt;0.000001,0,IF(AND(K525&gt;0,入力設定!$B$8="期間短縮型",AA525&lt;0.000001,F525&gt;M525*C525/12),MAX(1,MIN(E525-1,IF(C525=0,ROUNDUP(M525/F525,0),ROUNDUP(-LN(1-M525*(C525/12)/F525)/LN(1+C525/12),0)))),MAX(1,E525-1)))</f>
        <v>0</v>
      </c>
      <c r="O525" s="70">
        <f t="shared" ca="1" si="181"/>
        <v>0</v>
      </c>
      <c r="P525" s="70">
        <f t="shared" ca="1" si="195"/>
        <v>0</v>
      </c>
      <c r="Q525" s="70">
        <f ca="1">IF(OR(A525&gt;入力設定!$B$6*12,P525+AC525&lt;0.000001),0,IF(P525&lt;0.000001,Q524,IF(AE525=1,IF(C525=0,P525/MAX(1,入力設定!$B$6*12-A525+1),P525*(C525/12)/(1-(1+C525/12)^(-MAX(1,入力設定!$B$6*12-A525+1)))),Q524)))</f>
        <v>0</v>
      </c>
      <c r="R525" s="70">
        <f ca="1">IF(P525+AC525&lt;0.000001,0,IF(A525=入力設定!$B$6*12,P525+AB525+AC525,MIN(Q525,P525+AB525+AC525)))</f>
        <v>0</v>
      </c>
      <c r="S525" s="70">
        <f t="shared" ca="1" si="182"/>
        <v>0</v>
      </c>
      <c r="T525" s="70">
        <f t="shared" ca="1" si="183"/>
        <v>0</v>
      </c>
      <c r="U525" s="70">
        <f t="shared" ca="1" si="184"/>
        <v>0</v>
      </c>
      <c r="V525" s="70">
        <f t="shared" ca="1" si="185"/>
        <v>0</v>
      </c>
      <c r="W525" s="70">
        <f t="shared" ca="1" si="186"/>
        <v>0</v>
      </c>
      <c r="X525" s="70">
        <f t="shared" ca="1" si="187"/>
        <v>0</v>
      </c>
      <c r="Y525" s="71">
        <f t="shared" ca="1" si="188"/>
        <v>0</v>
      </c>
      <c r="Z525" s="71">
        <f t="shared" ca="1" si="196"/>
        <v>0</v>
      </c>
      <c r="AA525" s="71">
        <f t="shared" ca="1" si="189"/>
        <v>0</v>
      </c>
      <c r="AB525" s="71">
        <f t="shared" ca="1" si="190"/>
        <v>0</v>
      </c>
      <c r="AC525" s="71">
        <f t="shared" ca="1" si="197"/>
        <v>0</v>
      </c>
      <c r="AD525" s="71">
        <f t="shared" ca="1" si="191"/>
        <v>0</v>
      </c>
      <c r="AE525" s="72">
        <f t="shared" si="192"/>
        <v>0</v>
      </c>
      <c r="AF525" s="73">
        <f>IF(A525&gt;入力設定!$B$6*12,0,IF(AND(ISNUMBER(C525),C525&gt;=0,C525&lt;=1),0,1))</f>
        <v>0</v>
      </c>
    </row>
    <row r="526" spans="1:32" ht="21" customHeight="1">
      <c r="A526" s="68">
        <f>521</f>
        <v>521</v>
      </c>
      <c r="B526" s="69">
        <f>EDATE(入力設定!$B$7,A526-1)</f>
        <v>62153</v>
      </c>
      <c r="C526" s="80">
        <f>INDEX(入力設定!$C$15:$C$24,INT((A526-1)/60)+1)</f>
        <v>0.05</v>
      </c>
      <c r="D526" s="70">
        <f t="shared" ca="1" si="193"/>
        <v>0</v>
      </c>
      <c r="E526" s="70">
        <f t="shared" ca="1" si="194"/>
        <v>0</v>
      </c>
      <c r="F526" s="70">
        <f ca="1">IF(D526+Z526&lt;0.000001,0,IF(D526&lt;0.000001,F525,IF(OR(AE526=1,AND(K525&gt;0,入力設定!$B$8="返済額軽減型",入力設定!$B$11="翌月")),IF(C526=0,D526/MAX(1,E526),D526*(C526/12)/(1-(1+C526/12)^(-MAX(1,E526)))),F525)))</f>
        <v>0</v>
      </c>
      <c r="G526" s="70">
        <f t="shared" ca="1" si="176"/>
        <v>0</v>
      </c>
      <c r="H526" s="70">
        <f t="shared" ca="1" si="177"/>
        <v>0</v>
      </c>
      <c r="I526" s="70">
        <f t="shared" ca="1" si="178"/>
        <v>0</v>
      </c>
      <c r="J526" s="70">
        <f>SUMIFS(入力設定!$G$5:$G$24,入力設定!$F$5:$F$24,A526)</f>
        <v>0</v>
      </c>
      <c r="K526" s="70">
        <f t="shared" ca="1" si="179"/>
        <v>0</v>
      </c>
      <c r="L526" s="70">
        <f ca="1">IF(K526&gt;0,入力設定!$B$9,0)</f>
        <v>0</v>
      </c>
      <c r="M526" s="70">
        <f t="shared" ca="1" si="180"/>
        <v>0</v>
      </c>
      <c r="N526" s="70">
        <f ca="1">IF(M526+AA526&lt;0.000001,0,IF(AND(K526&gt;0,入力設定!$B$8="期間短縮型",AA526&lt;0.000001,F526&gt;M526*C526/12),MAX(1,MIN(E526-1,IF(C526=0,ROUNDUP(M526/F526,0),ROUNDUP(-LN(1-M526*(C526/12)/F526)/LN(1+C526/12),0)))),MAX(1,E526-1)))</f>
        <v>0</v>
      </c>
      <c r="O526" s="70">
        <f t="shared" ca="1" si="181"/>
        <v>0</v>
      </c>
      <c r="P526" s="70">
        <f t="shared" ca="1" si="195"/>
        <v>0</v>
      </c>
      <c r="Q526" s="70">
        <f ca="1">IF(OR(A526&gt;入力設定!$B$6*12,P526+AC526&lt;0.000001),0,IF(P526&lt;0.000001,Q525,IF(AE526=1,IF(C526=0,P526/MAX(1,入力設定!$B$6*12-A526+1),P526*(C526/12)/(1-(1+C526/12)^(-MAX(1,入力設定!$B$6*12-A526+1)))),Q525)))</f>
        <v>0</v>
      </c>
      <c r="R526" s="70">
        <f ca="1">IF(P526+AC526&lt;0.000001,0,IF(A526=入力設定!$B$6*12,P526+AB526+AC526,MIN(Q526,P526+AB526+AC526)))</f>
        <v>0</v>
      </c>
      <c r="S526" s="70">
        <f t="shared" ca="1" si="182"/>
        <v>0</v>
      </c>
      <c r="T526" s="70">
        <f t="shared" ca="1" si="183"/>
        <v>0</v>
      </c>
      <c r="U526" s="70">
        <f t="shared" ca="1" si="184"/>
        <v>0</v>
      </c>
      <c r="V526" s="70">
        <f t="shared" ca="1" si="185"/>
        <v>0</v>
      </c>
      <c r="W526" s="70">
        <f t="shared" ca="1" si="186"/>
        <v>0</v>
      </c>
      <c r="X526" s="70">
        <f t="shared" ca="1" si="187"/>
        <v>0</v>
      </c>
      <c r="Y526" s="71">
        <f t="shared" ca="1" si="188"/>
        <v>0</v>
      </c>
      <c r="Z526" s="71">
        <f t="shared" ca="1" si="196"/>
        <v>0</v>
      </c>
      <c r="AA526" s="71">
        <f t="shared" ca="1" si="189"/>
        <v>0</v>
      </c>
      <c r="AB526" s="71">
        <f t="shared" ca="1" si="190"/>
        <v>0</v>
      </c>
      <c r="AC526" s="71">
        <f t="shared" ca="1" si="197"/>
        <v>0</v>
      </c>
      <c r="AD526" s="71">
        <f t="shared" ca="1" si="191"/>
        <v>0</v>
      </c>
      <c r="AE526" s="72">
        <f t="shared" si="192"/>
        <v>0</v>
      </c>
      <c r="AF526" s="73">
        <f>IF(A526&gt;入力設定!$B$6*12,0,IF(AND(ISNUMBER(C526),C526&gt;=0,C526&lt;=1),0,1))</f>
        <v>0</v>
      </c>
    </row>
    <row r="527" spans="1:32" ht="21" customHeight="1">
      <c r="A527" s="68">
        <f>522</f>
        <v>522</v>
      </c>
      <c r="B527" s="69">
        <f>EDATE(入力設定!$B$7,A527-1)</f>
        <v>62184</v>
      </c>
      <c r="C527" s="80">
        <f>INDEX(入力設定!$C$15:$C$24,INT((A527-1)/60)+1)</f>
        <v>0.05</v>
      </c>
      <c r="D527" s="70">
        <f t="shared" ca="1" si="193"/>
        <v>0</v>
      </c>
      <c r="E527" s="70">
        <f t="shared" ca="1" si="194"/>
        <v>0</v>
      </c>
      <c r="F527" s="70">
        <f ca="1">IF(D527+Z527&lt;0.000001,0,IF(D527&lt;0.000001,F526,IF(OR(AE527=1,AND(K526&gt;0,入力設定!$B$8="返済額軽減型",入力設定!$B$11="翌月")),IF(C527=0,D527/MAX(1,E527),D527*(C527/12)/(1-(1+C527/12)^(-MAX(1,E527)))),F526)))</f>
        <v>0</v>
      </c>
      <c r="G527" s="70">
        <f t="shared" ca="1" si="176"/>
        <v>0</v>
      </c>
      <c r="H527" s="70">
        <f t="shared" ca="1" si="177"/>
        <v>0</v>
      </c>
      <c r="I527" s="70">
        <f t="shared" ca="1" si="178"/>
        <v>0</v>
      </c>
      <c r="J527" s="70">
        <f>SUMIFS(入力設定!$G$5:$G$24,入力設定!$F$5:$F$24,A527)</f>
        <v>0</v>
      </c>
      <c r="K527" s="70">
        <f t="shared" ca="1" si="179"/>
        <v>0</v>
      </c>
      <c r="L527" s="70">
        <f ca="1">IF(K527&gt;0,入力設定!$B$9,0)</f>
        <v>0</v>
      </c>
      <c r="M527" s="70">
        <f t="shared" ca="1" si="180"/>
        <v>0</v>
      </c>
      <c r="N527" s="70">
        <f ca="1">IF(M527+AA527&lt;0.000001,0,IF(AND(K527&gt;0,入力設定!$B$8="期間短縮型",AA527&lt;0.000001,F527&gt;M527*C527/12),MAX(1,MIN(E527-1,IF(C527=0,ROUNDUP(M527/F527,0),ROUNDUP(-LN(1-M527*(C527/12)/F527)/LN(1+C527/12),0)))),MAX(1,E527-1)))</f>
        <v>0</v>
      </c>
      <c r="O527" s="70">
        <f t="shared" ca="1" si="181"/>
        <v>0</v>
      </c>
      <c r="P527" s="70">
        <f t="shared" ca="1" si="195"/>
        <v>0</v>
      </c>
      <c r="Q527" s="70">
        <f ca="1">IF(OR(A527&gt;入力設定!$B$6*12,P527+AC527&lt;0.000001),0,IF(P527&lt;0.000001,Q526,IF(AE527=1,IF(C527=0,P527/MAX(1,入力設定!$B$6*12-A527+1),P527*(C527/12)/(1-(1+C527/12)^(-MAX(1,入力設定!$B$6*12-A527+1)))),Q526)))</f>
        <v>0</v>
      </c>
      <c r="R527" s="70">
        <f ca="1">IF(P527+AC527&lt;0.000001,0,IF(A527=入力設定!$B$6*12,P527+AB527+AC527,MIN(Q527,P527+AB527+AC527)))</f>
        <v>0</v>
      </c>
      <c r="S527" s="70">
        <f t="shared" ca="1" si="182"/>
        <v>0</v>
      </c>
      <c r="T527" s="70">
        <f t="shared" ca="1" si="183"/>
        <v>0</v>
      </c>
      <c r="U527" s="70">
        <f t="shared" ca="1" si="184"/>
        <v>0</v>
      </c>
      <c r="V527" s="70">
        <f t="shared" ca="1" si="185"/>
        <v>0</v>
      </c>
      <c r="W527" s="70">
        <f t="shared" ca="1" si="186"/>
        <v>0</v>
      </c>
      <c r="X527" s="70">
        <f t="shared" ca="1" si="187"/>
        <v>0</v>
      </c>
      <c r="Y527" s="71">
        <f t="shared" ca="1" si="188"/>
        <v>0</v>
      </c>
      <c r="Z527" s="71">
        <f t="shared" ca="1" si="196"/>
        <v>0</v>
      </c>
      <c r="AA527" s="71">
        <f t="shared" ca="1" si="189"/>
        <v>0</v>
      </c>
      <c r="AB527" s="71">
        <f t="shared" ca="1" si="190"/>
        <v>0</v>
      </c>
      <c r="AC527" s="71">
        <f t="shared" ca="1" si="197"/>
        <v>0</v>
      </c>
      <c r="AD527" s="71">
        <f t="shared" ca="1" si="191"/>
        <v>0</v>
      </c>
      <c r="AE527" s="72">
        <f t="shared" si="192"/>
        <v>0</v>
      </c>
      <c r="AF527" s="73">
        <f>IF(A527&gt;入力設定!$B$6*12,0,IF(AND(ISNUMBER(C527),C527&gt;=0,C527&lt;=1),0,1))</f>
        <v>0</v>
      </c>
    </row>
    <row r="528" spans="1:32" ht="21" customHeight="1">
      <c r="A528" s="68">
        <f>523</f>
        <v>523</v>
      </c>
      <c r="B528" s="69">
        <f>EDATE(入力設定!$B$7,A528-1)</f>
        <v>62214</v>
      </c>
      <c r="C528" s="80">
        <f>INDEX(入力設定!$C$15:$C$24,INT((A528-1)/60)+1)</f>
        <v>0.05</v>
      </c>
      <c r="D528" s="70">
        <f t="shared" ca="1" si="193"/>
        <v>0</v>
      </c>
      <c r="E528" s="70">
        <f t="shared" ca="1" si="194"/>
        <v>0</v>
      </c>
      <c r="F528" s="70">
        <f ca="1">IF(D528+Z528&lt;0.000001,0,IF(D528&lt;0.000001,F527,IF(OR(AE528=1,AND(K527&gt;0,入力設定!$B$8="返済額軽減型",入力設定!$B$11="翌月")),IF(C528=0,D528/MAX(1,E528),D528*(C528/12)/(1-(1+C528/12)^(-MAX(1,E528)))),F527)))</f>
        <v>0</v>
      </c>
      <c r="G528" s="70">
        <f t="shared" ca="1" si="176"/>
        <v>0</v>
      </c>
      <c r="H528" s="70">
        <f t="shared" ca="1" si="177"/>
        <v>0</v>
      </c>
      <c r="I528" s="70">
        <f t="shared" ca="1" si="178"/>
        <v>0</v>
      </c>
      <c r="J528" s="70">
        <f>SUMIFS(入力設定!$G$5:$G$24,入力設定!$F$5:$F$24,A528)</f>
        <v>0</v>
      </c>
      <c r="K528" s="70">
        <f t="shared" ca="1" si="179"/>
        <v>0</v>
      </c>
      <c r="L528" s="70">
        <f ca="1">IF(K528&gt;0,入力設定!$B$9,0)</f>
        <v>0</v>
      </c>
      <c r="M528" s="70">
        <f t="shared" ca="1" si="180"/>
        <v>0</v>
      </c>
      <c r="N528" s="70">
        <f ca="1">IF(M528+AA528&lt;0.000001,0,IF(AND(K528&gt;0,入力設定!$B$8="期間短縮型",AA528&lt;0.000001,F528&gt;M528*C528/12),MAX(1,MIN(E528-1,IF(C528=0,ROUNDUP(M528/F528,0),ROUNDUP(-LN(1-M528*(C528/12)/F528)/LN(1+C528/12),0)))),MAX(1,E528-1)))</f>
        <v>0</v>
      </c>
      <c r="O528" s="70">
        <f t="shared" ca="1" si="181"/>
        <v>0</v>
      </c>
      <c r="P528" s="70">
        <f t="shared" ca="1" si="195"/>
        <v>0</v>
      </c>
      <c r="Q528" s="70">
        <f ca="1">IF(OR(A528&gt;入力設定!$B$6*12,P528+AC528&lt;0.000001),0,IF(P528&lt;0.000001,Q527,IF(AE528=1,IF(C528=0,P528/MAX(1,入力設定!$B$6*12-A528+1),P528*(C528/12)/(1-(1+C528/12)^(-MAX(1,入力設定!$B$6*12-A528+1)))),Q527)))</f>
        <v>0</v>
      </c>
      <c r="R528" s="70">
        <f ca="1">IF(P528+AC528&lt;0.000001,0,IF(A528=入力設定!$B$6*12,P528+AB528+AC528,MIN(Q528,P528+AB528+AC528)))</f>
        <v>0</v>
      </c>
      <c r="S528" s="70">
        <f t="shared" ca="1" si="182"/>
        <v>0</v>
      </c>
      <c r="T528" s="70">
        <f t="shared" ca="1" si="183"/>
        <v>0</v>
      </c>
      <c r="U528" s="70">
        <f t="shared" ca="1" si="184"/>
        <v>0</v>
      </c>
      <c r="V528" s="70">
        <f t="shared" ca="1" si="185"/>
        <v>0</v>
      </c>
      <c r="W528" s="70">
        <f t="shared" ca="1" si="186"/>
        <v>0</v>
      </c>
      <c r="X528" s="70">
        <f t="shared" ca="1" si="187"/>
        <v>0</v>
      </c>
      <c r="Y528" s="71">
        <f t="shared" ca="1" si="188"/>
        <v>0</v>
      </c>
      <c r="Z528" s="71">
        <f t="shared" ca="1" si="196"/>
        <v>0</v>
      </c>
      <c r="AA528" s="71">
        <f t="shared" ca="1" si="189"/>
        <v>0</v>
      </c>
      <c r="AB528" s="71">
        <f t="shared" ca="1" si="190"/>
        <v>0</v>
      </c>
      <c r="AC528" s="71">
        <f t="shared" ca="1" si="197"/>
        <v>0</v>
      </c>
      <c r="AD528" s="71">
        <f t="shared" ca="1" si="191"/>
        <v>0</v>
      </c>
      <c r="AE528" s="72">
        <f t="shared" si="192"/>
        <v>0</v>
      </c>
      <c r="AF528" s="73">
        <f>IF(A528&gt;入力設定!$B$6*12,0,IF(AND(ISNUMBER(C528),C528&gt;=0,C528&lt;=1),0,1))</f>
        <v>0</v>
      </c>
    </row>
    <row r="529" spans="1:32" ht="21" customHeight="1">
      <c r="A529" s="68">
        <f>524</f>
        <v>524</v>
      </c>
      <c r="B529" s="69">
        <f>EDATE(入力設定!$B$7,A529-1)</f>
        <v>62245</v>
      </c>
      <c r="C529" s="80">
        <f>INDEX(入力設定!$C$15:$C$24,INT((A529-1)/60)+1)</f>
        <v>0.05</v>
      </c>
      <c r="D529" s="70">
        <f t="shared" ca="1" si="193"/>
        <v>0</v>
      </c>
      <c r="E529" s="70">
        <f t="shared" ca="1" si="194"/>
        <v>0</v>
      </c>
      <c r="F529" s="70">
        <f ca="1">IF(D529+Z529&lt;0.000001,0,IF(D529&lt;0.000001,F528,IF(OR(AE529=1,AND(K528&gt;0,入力設定!$B$8="返済額軽減型",入力設定!$B$11="翌月")),IF(C529=0,D529/MAX(1,E529),D529*(C529/12)/(1-(1+C529/12)^(-MAX(1,E529)))),F528)))</f>
        <v>0</v>
      </c>
      <c r="G529" s="70">
        <f t="shared" ca="1" si="176"/>
        <v>0</v>
      </c>
      <c r="H529" s="70">
        <f t="shared" ca="1" si="177"/>
        <v>0</v>
      </c>
      <c r="I529" s="70">
        <f t="shared" ca="1" si="178"/>
        <v>0</v>
      </c>
      <c r="J529" s="70">
        <f>SUMIFS(入力設定!$G$5:$G$24,入力設定!$F$5:$F$24,A529)</f>
        <v>0</v>
      </c>
      <c r="K529" s="70">
        <f t="shared" ca="1" si="179"/>
        <v>0</v>
      </c>
      <c r="L529" s="70">
        <f ca="1">IF(K529&gt;0,入力設定!$B$9,0)</f>
        <v>0</v>
      </c>
      <c r="M529" s="70">
        <f t="shared" ca="1" si="180"/>
        <v>0</v>
      </c>
      <c r="N529" s="70">
        <f ca="1">IF(M529+AA529&lt;0.000001,0,IF(AND(K529&gt;0,入力設定!$B$8="期間短縮型",AA529&lt;0.000001,F529&gt;M529*C529/12),MAX(1,MIN(E529-1,IF(C529=0,ROUNDUP(M529/F529,0),ROUNDUP(-LN(1-M529*(C529/12)/F529)/LN(1+C529/12),0)))),MAX(1,E529-1)))</f>
        <v>0</v>
      </c>
      <c r="O529" s="70">
        <f t="shared" ca="1" si="181"/>
        <v>0</v>
      </c>
      <c r="P529" s="70">
        <f t="shared" ca="1" si="195"/>
        <v>0</v>
      </c>
      <c r="Q529" s="70">
        <f ca="1">IF(OR(A529&gt;入力設定!$B$6*12,P529+AC529&lt;0.000001),0,IF(P529&lt;0.000001,Q528,IF(AE529=1,IF(C529=0,P529/MAX(1,入力設定!$B$6*12-A529+1),P529*(C529/12)/(1-(1+C529/12)^(-MAX(1,入力設定!$B$6*12-A529+1)))),Q528)))</f>
        <v>0</v>
      </c>
      <c r="R529" s="70">
        <f ca="1">IF(P529+AC529&lt;0.000001,0,IF(A529=入力設定!$B$6*12,P529+AB529+AC529,MIN(Q529,P529+AB529+AC529)))</f>
        <v>0</v>
      </c>
      <c r="S529" s="70">
        <f t="shared" ca="1" si="182"/>
        <v>0</v>
      </c>
      <c r="T529" s="70">
        <f t="shared" ca="1" si="183"/>
        <v>0</v>
      </c>
      <c r="U529" s="70">
        <f t="shared" ca="1" si="184"/>
        <v>0</v>
      </c>
      <c r="V529" s="70">
        <f t="shared" ca="1" si="185"/>
        <v>0</v>
      </c>
      <c r="W529" s="70">
        <f t="shared" ca="1" si="186"/>
        <v>0</v>
      </c>
      <c r="X529" s="70">
        <f t="shared" ca="1" si="187"/>
        <v>0</v>
      </c>
      <c r="Y529" s="71">
        <f t="shared" ca="1" si="188"/>
        <v>0</v>
      </c>
      <c r="Z529" s="71">
        <f t="shared" ca="1" si="196"/>
        <v>0</v>
      </c>
      <c r="AA529" s="71">
        <f t="shared" ca="1" si="189"/>
        <v>0</v>
      </c>
      <c r="AB529" s="71">
        <f t="shared" ca="1" si="190"/>
        <v>0</v>
      </c>
      <c r="AC529" s="71">
        <f t="shared" ca="1" si="197"/>
        <v>0</v>
      </c>
      <c r="AD529" s="71">
        <f t="shared" ca="1" si="191"/>
        <v>0</v>
      </c>
      <c r="AE529" s="72">
        <f t="shared" si="192"/>
        <v>0</v>
      </c>
      <c r="AF529" s="73">
        <f>IF(A529&gt;入力設定!$B$6*12,0,IF(AND(ISNUMBER(C529),C529&gt;=0,C529&lt;=1),0,1))</f>
        <v>0</v>
      </c>
    </row>
    <row r="530" spans="1:32" ht="21" customHeight="1">
      <c r="A530" s="68">
        <f>525</f>
        <v>525</v>
      </c>
      <c r="B530" s="69">
        <f>EDATE(入力設定!$B$7,A530-1)</f>
        <v>62275</v>
      </c>
      <c r="C530" s="80">
        <f>INDEX(入力設定!$C$15:$C$24,INT((A530-1)/60)+1)</f>
        <v>0.05</v>
      </c>
      <c r="D530" s="70">
        <f t="shared" ca="1" si="193"/>
        <v>0</v>
      </c>
      <c r="E530" s="70">
        <f t="shared" ca="1" si="194"/>
        <v>0</v>
      </c>
      <c r="F530" s="70">
        <f ca="1">IF(D530+Z530&lt;0.000001,0,IF(D530&lt;0.000001,F529,IF(OR(AE530=1,AND(K529&gt;0,入力設定!$B$8="返済額軽減型",入力設定!$B$11="翌月")),IF(C530=0,D530/MAX(1,E530),D530*(C530/12)/(1-(1+C530/12)^(-MAX(1,E530)))),F529)))</f>
        <v>0</v>
      </c>
      <c r="G530" s="70">
        <f t="shared" ca="1" si="176"/>
        <v>0</v>
      </c>
      <c r="H530" s="70">
        <f t="shared" ca="1" si="177"/>
        <v>0</v>
      </c>
      <c r="I530" s="70">
        <f t="shared" ca="1" si="178"/>
        <v>0</v>
      </c>
      <c r="J530" s="70">
        <f>SUMIFS(入力設定!$G$5:$G$24,入力設定!$F$5:$F$24,A530)</f>
        <v>0</v>
      </c>
      <c r="K530" s="70">
        <f t="shared" ca="1" si="179"/>
        <v>0</v>
      </c>
      <c r="L530" s="70">
        <f ca="1">IF(K530&gt;0,入力設定!$B$9,0)</f>
        <v>0</v>
      </c>
      <c r="M530" s="70">
        <f t="shared" ca="1" si="180"/>
        <v>0</v>
      </c>
      <c r="N530" s="70">
        <f ca="1">IF(M530+AA530&lt;0.000001,0,IF(AND(K530&gt;0,入力設定!$B$8="期間短縮型",AA530&lt;0.000001,F530&gt;M530*C530/12),MAX(1,MIN(E530-1,IF(C530=0,ROUNDUP(M530/F530,0),ROUNDUP(-LN(1-M530*(C530/12)/F530)/LN(1+C530/12),0)))),MAX(1,E530-1)))</f>
        <v>0</v>
      </c>
      <c r="O530" s="70">
        <f t="shared" ca="1" si="181"/>
        <v>0</v>
      </c>
      <c r="P530" s="70">
        <f t="shared" ca="1" si="195"/>
        <v>0</v>
      </c>
      <c r="Q530" s="70">
        <f ca="1">IF(OR(A530&gt;入力設定!$B$6*12,P530+AC530&lt;0.000001),0,IF(P530&lt;0.000001,Q529,IF(AE530=1,IF(C530=0,P530/MAX(1,入力設定!$B$6*12-A530+1),P530*(C530/12)/(1-(1+C530/12)^(-MAX(1,入力設定!$B$6*12-A530+1)))),Q529)))</f>
        <v>0</v>
      </c>
      <c r="R530" s="70">
        <f ca="1">IF(P530+AC530&lt;0.000001,0,IF(A530=入力設定!$B$6*12,P530+AB530+AC530,MIN(Q530,P530+AB530+AC530)))</f>
        <v>0</v>
      </c>
      <c r="S530" s="70">
        <f t="shared" ca="1" si="182"/>
        <v>0</v>
      </c>
      <c r="T530" s="70">
        <f t="shared" ca="1" si="183"/>
        <v>0</v>
      </c>
      <c r="U530" s="70">
        <f t="shared" ca="1" si="184"/>
        <v>0</v>
      </c>
      <c r="V530" s="70">
        <f t="shared" ca="1" si="185"/>
        <v>0</v>
      </c>
      <c r="W530" s="70">
        <f t="shared" ca="1" si="186"/>
        <v>0</v>
      </c>
      <c r="X530" s="70">
        <f t="shared" ca="1" si="187"/>
        <v>0</v>
      </c>
      <c r="Y530" s="71">
        <f t="shared" ca="1" si="188"/>
        <v>0</v>
      </c>
      <c r="Z530" s="71">
        <f t="shared" ca="1" si="196"/>
        <v>0</v>
      </c>
      <c r="AA530" s="71">
        <f t="shared" ca="1" si="189"/>
        <v>0</v>
      </c>
      <c r="AB530" s="71">
        <f t="shared" ca="1" si="190"/>
        <v>0</v>
      </c>
      <c r="AC530" s="71">
        <f t="shared" ca="1" si="197"/>
        <v>0</v>
      </c>
      <c r="AD530" s="71">
        <f t="shared" ca="1" si="191"/>
        <v>0</v>
      </c>
      <c r="AE530" s="72">
        <f t="shared" si="192"/>
        <v>0</v>
      </c>
      <c r="AF530" s="73">
        <f>IF(A530&gt;入力設定!$B$6*12,0,IF(AND(ISNUMBER(C530),C530&gt;=0,C530&lt;=1),0,1))</f>
        <v>0</v>
      </c>
    </row>
    <row r="531" spans="1:32" ht="21" customHeight="1">
      <c r="A531" s="68">
        <f>526</f>
        <v>526</v>
      </c>
      <c r="B531" s="69">
        <f>EDATE(入力設定!$B$7,A531-1)</f>
        <v>62306</v>
      </c>
      <c r="C531" s="80">
        <f>INDEX(入力設定!$C$15:$C$24,INT((A531-1)/60)+1)</f>
        <v>0.05</v>
      </c>
      <c r="D531" s="70">
        <f t="shared" ca="1" si="193"/>
        <v>0</v>
      </c>
      <c r="E531" s="70">
        <f t="shared" ca="1" si="194"/>
        <v>0</v>
      </c>
      <c r="F531" s="70">
        <f ca="1">IF(D531+Z531&lt;0.000001,0,IF(D531&lt;0.000001,F530,IF(OR(AE531=1,AND(K530&gt;0,入力設定!$B$8="返済額軽減型",入力設定!$B$11="翌月")),IF(C531=0,D531/MAX(1,E531),D531*(C531/12)/(1-(1+C531/12)^(-MAX(1,E531)))),F530)))</f>
        <v>0</v>
      </c>
      <c r="G531" s="70">
        <f t="shared" ca="1" si="176"/>
        <v>0</v>
      </c>
      <c r="H531" s="70">
        <f t="shared" ca="1" si="177"/>
        <v>0</v>
      </c>
      <c r="I531" s="70">
        <f t="shared" ca="1" si="178"/>
        <v>0</v>
      </c>
      <c r="J531" s="70">
        <f>SUMIFS(入力設定!$G$5:$G$24,入力設定!$F$5:$F$24,A531)</f>
        <v>0</v>
      </c>
      <c r="K531" s="70">
        <f t="shared" ca="1" si="179"/>
        <v>0</v>
      </c>
      <c r="L531" s="70">
        <f ca="1">IF(K531&gt;0,入力設定!$B$9,0)</f>
        <v>0</v>
      </c>
      <c r="M531" s="70">
        <f t="shared" ca="1" si="180"/>
        <v>0</v>
      </c>
      <c r="N531" s="70">
        <f ca="1">IF(M531+AA531&lt;0.000001,0,IF(AND(K531&gt;0,入力設定!$B$8="期間短縮型",AA531&lt;0.000001,F531&gt;M531*C531/12),MAX(1,MIN(E531-1,IF(C531=0,ROUNDUP(M531/F531,0),ROUNDUP(-LN(1-M531*(C531/12)/F531)/LN(1+C531/12),0)))),MAX(1,E531-1)))</f>
        <v>0</v>
      </c>
      <c r="O531" s="70">
        <f t="shared" ca="1" si="181"/>
        <v>0</v>
      </c>
      <c r="P531" s="70">
        <f t="shared" ca="1" si="195"/>
        <v>0</v>
      </c>
      <c r="Q531" s="70">
        <f ca="1">IF(OR(A531&gt;入力設定!$B$6*12,P531+AC531&lt;0.000001),0,IF(P531&lt;0.000001,Q530,IF(AE531=1,IF(C531=0,P531/MAX(1,入力設定!$B$6*12-A531+1),P531*(C531/12)/(1-(1+C531/12)^(-MAX(1,入力設定!$B$6*12-A531+1)))),Q530)))</f>
        <v>0</v>
      </c>
      <c r="R531" s="70">
        <f ca="1">IF(P531+AC531&lt;0.000001,0,IF(A531=入力設定!$B$6*12,P531+AB531+AC531,MIN(Q531,P531+AB531+AC531)))</f>
        <v>0</v>
      </c>
      <c r="S531" s="70">
        <f t="shared" ca="1" si="182"/>
        <v>0</v>
      </c>
      <c r="T531" s="70">
        <f t="shared" ca="1" si="183"/>
        <v>0</v>
      </c>
      <c r="U531" s="70">
        <f t="shared" ca="1" si="184"/>
        <v>0</v>
      </c>
      <c r="V531" s="70">
        <f t="shared" ca="1" si="185"/>
        <v>0</v>
      </c>
      <c r="W531" s="70">
        <f t="shared" ca="1" si="186"/>
        <v>0</v>
      </c>
      <c r="X531" s="70">
        <f t="shared" ca="1" si="187"/>
        <v>0</v>
      </c>
      <c r="Y531" s="71">
        <f t="shared" ca="1" si="188"/>
        <v>0</v>
      </c>
      <c r="Z531" s="71">
        <f t="shared" ca="1" si="196"/>
        <v>0</v>
      </c>
      <c r="AA531" s="71">
        <f t="shared" ca="1" si="189"/>
        <v>0</v>
      </c>
      <c r="AB531" s="71">
        <f t="shared" ca="1" si="190"/>
        <v>0</v>
      </c>
      <c r="AC531" s="71">
        <f t="shared" ca="1" si="197"/>
        <v>0</v>
      </c>
      <c r="AD531" s="71">
        <f t="shared" ca="1" si="191"/>
        <v>0</v>
      </c>
      <c r="AE531" s="72">
        <f t="shared" si="192"/>
        <v>0</v>
      </c>
      <c r="AF531" s="73">
        <f>IF(A531&gt;入力設定!$B$6*12,0,IF(AND(ISNUMBER(C531),C531&gt;=0,C531&lt;=1),0,1))</f>
        <v>0</v>
      </c>
    </row>
    <row r="532" spans="1:32" ht="21" customHeight="1">
      <c r="A532" s="68">
        <f>527</f>
        <v>527</v>
      </c>
      <c r="B532" s="69">
        <f>EDATE(入力設定!$B$7,A532-1)</f>
        <v>62337</v>
      </c>
      <c r="C532" s="80">
        <f>INDEX(入力設定!$C$15:$C$24,INT((A532-1)/60)+1)</f>
        <v>0.05</v>
      </c>
      <c r="D532" s="70">
        <f t="shared" ca="1" si="193"/>
        <v>0</v>
      </c>
      <c r="E532" s="70">
        <f t="shared" ca="1" si="194"/>
        <v>0</v>
      </c>
      <c r="F532" s="70">
        <f ca="1">IF(D532+Z532&lt;0.000001,0,IF(D532&lt;0.000001,F531,IF(OR(AE532=1,AND(K531&gt;0,入力設定!$B$8="返済額軽減型",入力設定!$B$11="翌月")),IF(C532=0,D532/MAX(1,E532),D532*(C532/12)/(1-(1+C532/12)^(-MAX(1,E532)))),F531)))</f>
        <v>0</v>
      </c>
      <c r="G532" s="70">
        <f t="shared" ca="1" si="176"/>
        <v>0</v>
      </c>
      <c r="H532" s="70">
        <f t="shared" ca="1" si="177"/>
        <v>0</v>
      </c>
      <c r="I532" s="70">
        <f t="shared" ca="1" si="178"/>
        <v>0</v>
      </c>
      <c r="J532" s="70">
        <f>SUMIFS(入力設定!$G$5:$G$24,入力設定!$F$5:$F$24,A532)</f>
        <v>0</v>
      </c>
      <c r="K532" s="70">
        <f t="shared" ca="1" si="179"/>
        <v>0</v>
      </c>
      <c r="L532" s="70">
        <f ca="1">IF(K532&gt;0,入力設定!$B$9,0)</f>
        <v>0</v>
      </c>
      <c r="M532" s="70">
        <f t="shared" ca="1" si="180"/>
        <v>0</v>
      </c>
      <c r="N532" s="70">
        <f ca="1">IF(M532+AA532&lt;0.000001,0,IF(AND(K532&gt;0,入力設定!$B$8="期間短縮型",AA532&lt;0.000001,F532&gt;M532*C532/12),MAX(1,MIN(E532-1,IF(C532=0,ROUNDUP(M532/F532,0),ROUNDUP(-LN(1-M532*(C532/12)/F532)/LN(1+C532/12),0)))),MAX(1,E532-1)))</f>
        <v>0</v>
      </c>
      <c r="O532" s="70">
        <f t="shared" ca="1" si="181"/>
        <v>0</v>
      </c>
      <c r="P532" s="70">
        <f t="shared" ca="1" si="195"/>
        <v>0</v>
      </c>
      <c r="Q532" s="70">
        <f ca="1">IF(OR(A532&gt;入力設定!$B$6*12,P532+AC532&lt;0.000001),0,IF(P532&lt;0.000001,Q531,IF(AE532=1,IF(C532=0,P532/MAX(1,入力設定!$B$6*12-A532+1),P532*(C532/12)/(1-(1+C532/12)^(-MAX(1,入力設定!$B$6*12-A532+1)))),Q531)))</f>
        <v>0</v>
      </c>
      <c r="R532" s="70">
        <f ca="1">IF(P532+AC532&lt;0.000001,0,IF(A532=入力設定!$B$6*12,P532+AB532+AC532,MIN(Q532,P532+AB532+AC532)))</f>
        <v>0</v>
      </c>
      <c r="S532" s="70">
        <f t="shared" ca="1" si="182"/>
        <v>0</v>
      </c>
      <c r="T532" s="70">
        <f t="shared" ca="1" si="183"/>
        <v>0</v>
      </c>
      <c r="U532" s="70">
        <f t="shared" ca="1" si="184"/>
        <v>0</v>
      </c>
      <c r="V532" s="70">
        <f t="shared" ca="1" si="185"/>
        <v>0</v>
      </c>
      <c r="W532" s="70">
        <f t="shared" ca="1" si="186"/>
        <v>0</v>
      </c>
      <c r="X532" s="70">
        <f t="shared" ca="1" si="187"/>
        <v>0</v>
      </c>
      <c r="Y532" s="71">
        <f t="shared" ca="1" si="188"/>
        <v>0</v>
      </c>
      <c r="Z532" s="71">
        <f t="shared" ca="1" si="196"/>
        <v>0</v>
      </c>
      <c r="AA532" s="71">
        <f t="shared" ca="1" si="189"/>
        <v>0</v>
      </c>
      <c r="AB532" s="71">
        <f t="shared" ca="1" si="190"/>
        <v>0</v>
      </c>
      <c r="AC532" s="71">
        <f t="shared" ca="1" si="197"/>
        <v>0</v>
      </c>
      <c r="AD532" s="71">
        <f t="shared" ca="1" si="191"/>
        <v>0</v>
      </c>
      <c r="AE532" s="72">
        <f t="shared" si="192"/>
        <v>0</v>
      </c>
      <c r="AF532" s="73">
        <f>IF(A532&gt;入力設定!$B$6*12,0,IF(AND(ISNUMBER(C532),C532&gt;=0,C532&lt;=1),0,1))</f>
        <v>0</v>
      </c>
    </row>
    <row r="533" spans="1:32" ht="21" customHeight="1">
      <c r="A533" s="68">
        <f>528</f>
        <v>528</v>
      </c>
      <c r="B533" s="69">
        <f>EDATE(入力設定!$B$7,A533-1)</f>
        <v>62367</v>
      </c>
      <c r="C533" s="80">
        <f>INDEX(入力設定!$C$15:$C$24,INT((A533-1)/60)+1)</f>
        <v>0.05</v>
      </c>
      <c r="D533" s="70">
        <f t="shared" ca="1" si="193"/>
        <v>0</v>
      </c>
      <c r="E533" s="70">
        <f t="shared" ca="1" si="194"/>
        <v>0</v>
      </c>
      <c r="F533" s="70">
        <f ca="1">IF(D533+Z533&lt;0.000001,0,IF(D533&lt;0.000001,F532,IF(OR(AE533=1,AND(K532&gt;0,入力設定!$B$8="返済額軽減型",入力設定!$B$11="翌月")),IF(C533=0,D533/MAX(1,E533),D533*(C533/12)/(1-(1+C533/12)^(-MAX(1,E533)))),F532)))</f>
        <v>0</v>
      </c>
      <c r="G533" s="70">
        <f t="shared" ca="1" si="176"/>
        <v>0</v>
      </c>
      <c r="H533" s="70">
        <f t="shared" ca="1" si="177"/>
        <v>0</v>
      </c>
      <c r="I533" s="70">
        <f t="shared" ca="1" si="178"/>
        <v>0</v>
      </c>
      <c r="J533" s="70">
        <f>SUMIFS(入力設定!$G$5:$G$24,入力設定!$F$5:$F$24,A533)</f>
        <v>0</v>
      </c>
      <c r="K533" s="70">
        <f t="shared" ca="1" si="179"/>
        <v>0</v>
      </c>
      <c r="L533" s="70">
        <f ca="1">IF(K533&gt;0,入力設定!$B$9,0)</f>
        <v>0</v>
      </c>
      <c r="M533" s="70">
        <f t="shared" ca="1" si="180"/>
        <v>0</v>
      </c>
      <c r="N533" s="70">
        <f ca="1">IF(M533+AA533&lt;0.000001,0,IF(AND(K533&gt;0,入力設定!$B$8="期間短縮型",AA533&lt;0.000001,F533&gt;M533*C533/12),MAX(1,MIN(E533-1,IF(C533=0,ROUNDUP(M533/F533,0),ROUNDUP(-LN(1-M533*(C533/12)/F533)/LN(1+C533/12),0)))),MAX(1,E533-1)))</f>
        <v>0</v>
      </c>
      <c r="O533" s="70">
        <f t="shared" ca="1" si="181"/>
        <v>0</v>
      </c>
      <c r="P533" s="70">
        <f t="shared" ca="1" si="195"/>
        <v>0</v>
      </c>
      <c r="Q533" s="70">
        <f ca="1">IF(OR(A533&gt;入力設定!$B$6*12,P533+AC533&lt;0.000001),0,IF(P533&lt;0.000001,Q532,IF(AE533=1,IF(C533=0,P533/MAX(1,入力設定!$B$6*12-A533+1),P533*(C533/12)/(1-(1+C533/12)^(-MAX(1,入力設定!$B$6*12-A533+1)))),Q532)))</f>
        <v>0</v>
      </c>
      <c r="R533" s="70">
        <f ca="1">IF(P533+AC533&lt;0.000001,0,IF(A533=入力設定!$B$6*12,P533+AB533+AC533,MIN(Q533,P533+AB533+AC533)))</f>
        <v>0</v>
      </c>
      <c r="S533" s="70">
        <f t="shared" ca="1" si="182"/>
        <v>0</v>
      </c>
      <c r="T533" s="70">
        <f t="shared" ca="1" si="183"/>
        <v>0</v>
      </c>
      <c r="U533" s="70">
        <f t="shared" ca="1" si="184"/>
        <v>0</v>
      </c>
      <c r="V533" s="70">
        <f t="shared" ca="1" si="185"/>
        <v>0</v>
      </c>
      <c r="W533" s="70">
        <f t="shared" ca="1" si="186"/>
        <v>0</v>
      </c>
      <c r="X533" s="70">
        <f t="shared" ca="1" si="187"/>
        <v>0</v>
      </c>
      <c r="Y533" s="71">
        <f t="shared" ca="1" si="188"/>
        <v>0</v>
      </c>
      <c r="Z533" s="71">
        <f t="shared" ca="1" si="196"/>
        <v>0</v>
      </c>
      <c r="AA533" s="71">
        <f t="shared" ca="1" si="189"/>
        <v>0</v>
      </c>
      <c r="AB533" s="71">
        <f t="shared" ca="1" si="190"/>
        <v>0</v>
      </c>
      <c r="AC533" s="71">
        <f t="shared" ca="1" si="197"/>
        <v>0</v>
      </c>
      <c r="AD533" s="71">
        <f t="shared" ca="1" si="191"/>
        <v>0</v>
      </c>
      <c r="AE533" s="72">
        <f t="shared" si="192"/>
        <v>0</v>
      </c>
      <c r="AF533" s="73">
        <f>IF(A533&gt;入力設定!$B$6*12,0,IF(AND(ISNUMBER(C533),C533&gt;=0,C533&lt;=1),0,1))</f>
        <v>0</v>
      </c>
    </row>
    <row r="534" spans="1:32" ht="21" customHeight="1">
      <c r="A534" s="68">
        <f>529</f>
        <v>529</v>
      </c>
      <c r="B534" s="69">
        <f>EDATE(入力設定!$B$7,A534-1)</f>
        <v>62398</v>
      </c>
      <c r="C534" s="80">
        <f>INDEX(入力設定!$C$15:$C$24,INT((A534-1)/60)+1)</f>
        <v>0.05</v>
      </c>
      <c r="D534" s="70">
        <f t="shared" ca="1" si="193"/>
        <v>0</v>
      </c>
      <c r="E534" s="70">
        <f t="shared" ca="1" si="194"/>
        <v>0</v>
      </c>
      <c r="F534" s="70">
        <f ca="1">IF(D534+Z534&lt;0.000001,0,IF(D534&lt;0.000001,F533,IF(OR(AE534=1,AND(K533&gt;0,入力設定!$B$8="返済額軽減型",入力設定!$B$11="翌月")),IF(C534=0,D534/MAX(1,E534),D534*(C534/12)/(1-(1+C534/12)^(-MAX(1,E534)))),F533)))</f>
        <v>0</v>
      </c>
      <c r="G534" s="70">
        <f t="shared" ca="1" si="176"/>
        <v>0</v>
      </c>
      <c r="H534" s="70">
        <f t="shared" ca="1" si="177"/>
        <v>0</v>
      </c>
      <c r="I534" s="70">
        <f t="shared" ca="1" si="178"/>
        <v>0</v>
      </c>
      <c r="J534" s="70">
        <f>SUMIFS(入力設定!$G$5:$G$24,入力設定!$F$5:$F$24,A534)</f>
        <v>0</v>
      </c>
      <c r="K534" s="70">
        <f t="shared" ca="1" si="179"/>
        <v>0</v>
      </c>
      <c r="L534" s="70">
        <f ca="1">IF(K534&gt;0,入力設定!$B$9,0)</f>
        <v>0</v>
      </c>
      <c r="M534" s="70">
        <f t="shared" ca="1" si="180"/>
        <v>0</v>
      </c>
      <c r="N534" s="70">
        <f ca="1">IF(M534+AA534&lt;0.000001,0,IF(AND(K534&gt;0,入力設定!$B$8="期間短縮型",AA534&lt;0.000001,F534&gt;M534*C534/12),MAX(1,MIN(E534-1,IF(C534=0,ROUNDUP(M534/F534,0),ROUNDUP(-LN(1-M534*(C534/12)/F534)/LN(1+C534/12),0)))),MAX(1,E534-1)))</f>
        <v>0</v>
      </c>
      <c r="O534" s="70">
        <f t="shared" ca="1" si="181"/>
        <v>0</v>
      </c>
      <c r="P534" s="70">
        <f t="shared" ca="1" si="195"/>
        <v>0</v>
      </c>
      <c r="Q534" s="70">
        <f ca="1">IF(OR(A534&gt;入力設定!$B$6*12,P534+AC534&lt;0.000001),0,IF(P534&lt;0.000001,Q533,IF(AE534=1,IF(C534=0,P534/MAX(1,入力設定!$B$6*12-A534+1),P534*(C534/12)/(1-(1+C534/12)^(-MAX(1,入力設定!$B$6*12-A534+1)))),Q533)))</f>
        <v>0</v>
      </c>
      <c r="R534" s="70">
        <f ca="1">IF(P534+AC534&lt;0.000001,0,IF(A534=入力設定!$B$6*12,P534+AB534+AC534,MIN(Q534,P534+AB534+AC534)))</f>
        <v>0</v>
      </c>
      <c r="S534" s="70">
        <f t="shared" ca="1" si="182"/>
        <v>0</v>
      </c>
      <c r="T534" s="70">
        <f t="shared" ca="1" si="183"/>
        <v>0</v>
      </c>
      <c r="U534" s="70">
        <f t="shared" ca="1" si="184"/>
        <v>0</v>
      </c>
      <c r="V534" s="70">
        <f t="shared" ca="1" si="185"/>
        <v>0</v>
      </c>
      <c r="W534" s="70">
        <f t="shared" ca="1" si="186"/>
        <v>0</v>
      </c>
      <c r="X534" s="70">
        <f t="shared" ca="1" si="187"/>
        <v>0</v>
      </c>
      <c r="Y534" s="71">
        <f t="shared" ca="1" si="188"/>
        <v>0</v>
      </c>
      <c r="Z534" s="71">
        <f t="shared" ca="1" si="196"/>
        <v>0</v>
      </c>
      <c r="AA534" s="71">
        <f t="shared" ca="1" si="189"/>
        <v>0</v>
      </c>
      <c r="AB534" s="71">
        <f t="shared" ca="1" si="190"/>
        <v>0</v>
      </c>
      <c r="AC534" s="71">
        <f t="shared" ca="1" si="197"/>
        <v>0</v>
      </c>
      <c r="AD534" s="71">
        <f t="shared" ca="1" si="191"/>
        <v>0</v>
      </c>
      <c r="AE534" s="72">
        <f t="shared" si="192"/>
        <v>0</v>
      </c>
      <c r="AF534" s="73">
        <f>IF(A534&gt;入力設定!$B$6*12,0,IF(AND(ISNUMBER(C534),C534&gt;=0,C534&lt;=1),0,1))</f>
        <v>0</v>
      </c>
    </row>
    <row r="535" spans="1:32" ht="21" customHeight="1">
      <c r="A535" s="68">
        <f>530</f>
        <v>530</v>
      </c>
      <c r="B535" s="69">
        <f>EDATE(入力設定!$B$7,A535-1)</f>
        <v>62428</v>
      </c>
      <c r="C535" s="80">
        <f>INDEX(入力設定!$C$15:$C$24,INT((A535-1)/60)+1)</f>
        <v>0.05</v>
      </c>
      <c r="D535" s="70">
        <f t="shared" ca="1" si="193"/>
        <v>0</v>
      </c>
      <c r="E535" s="70">
        <f t="shared" ca="1" si="194"/>
        <v>0</v>
      </c>
      <c r="F535" s="70">
        <f ca="1">IF(D535+Z535&lt;0.000001,0,IF(D535&lt;0.000001,F534,IF(OR(AE535=1,AND(K534&gt;0,入力設定!$B$8="返済額軽減型",入力設定!$B$11="翌月")),IF(C535=0,D535/MAX(1,E535),D535*(C535/12)/(1-(1+C535/12)^(-MAX(1,E535)))),F534)))</f>
        <v>0</v>
      </c>
      <c r="G535" s="70">
        <f t="shared" ca="1" si="176"/>
        <v>0</v>
      </c>
      <c r="H535" s="70">
        <f t="shared" ca="1" si="177"/>
        <v>0</v>
      </c>
      <c r="I535" s="70">
        <f t="shared" ca="1" si="178"/>
        <v>0</v>
      </c>
      <c r="J535" s="70">
        <f>SUMIFS(入力設定!$G$5:$G$24,入力設定!$F$5:$F$24,A535)</f>
        <v>0</v>
      </c>
      <c r="K535" s="70">
        <f t="shared" ca="1" si="179"/>
        <v>0</v>
      </c>
      <c r="L535" s="70">
        <f ca="1">IF(K535&gt;0,入力設定!$B$9,0)</f>
        <v>0</v>
      </c>
      <c r="M535" s="70">
        <f t="shared" ca="1" si="180"/>
        <v>0</v>
      </c>
      <c r="N535" s="70">
        <f ca="1">IF(M535+AA535&lt;0.000001,0,IF(AND(K535&gt;0,入力設定!$B$8="期間短縮型",AA535&lt;0.000001,F535&gt;M535*C535/12),MAX(1,MIN(E535-1,IF(C535=0,ROUNDUP(M535/F535,0),ROUNDUP(-LN(1-M535*(C535/12)/F535)/LN(1+C535/12),0)))),MAX(1,E535-1)))</f>
        <v>0</v>
      </c>
      <c r="O535" s="70">
        <f t="shared" ca="1" si="181"/>
        <v>0</v>
      </c>
      <c r="P535" s="70">
        <f t="shared" ca="1" si="195"/>
        <v>0</v>
      </c>
      <c r="Q535" s="70">
        <f ca="1">IF(OR(A535&gt;入力設定!$B$6*12,P535+AC535&lt;0.000001),0,IF(P535&lt;0.000001,Q534,IF(AE535=1,IF(C535=0,P535/MAX(1,入力設定!$B$6*12-A535+1),P535*(C535/12)/(1-(1+C535/12)^(-MAX(1,入力設定!$B$6*12-A535+1)))),Q534)))</f>
        <v>0</v>
      </c>
      <c r="R535" s="70">
        <f ca="1">IF(P535+AC535&lt;0.000001,0,IF(A535=入力設定!$B$6*12,P535+AB535+AC535,MIN(Q535,P535+AB535+AC535)))</f>
        <v>0</v>
      </c>
      <c r="S535" s="70">
        <f t="shared" ca="1" si="182"/>
        <v>0</v>
      </c>
      <c r="T535" s="70">
        <f t="shared" ca="1" si="183"/>
        <v>0</v>
      </c>
      <c r="U535" s="70">
        <f t="shared" ca="1" si="184"/>
        <v>0</v>
      </c>
      <c r="V535" s="70">
        <f t="shared" ca="1" si="185"/>
        <v>0</v>
      </c>
      <c r="W535" s="70">
        <f t="shared" ca="1" si="186"/>
        <v>0</v>
      </c>
      <c r="X535" s="70">
        <f t="shared" ca="1" si="187"/>
        <v>0</v>
      </c>
      <c r="Y535" s="71">
        <f t="shared" ca="1" si="188"/>
        <v>0</v>
      </c>
      <c r="Z535" s="71">
        <f t="shared" ca="1" si="196"/>
        <v>0</v>
      </c>
      <c r="AA535" s="71">
        <f t="shared" ca="1" si="189"/>
        <v>0</v>
      </c>
      <c r="AB535" s="71">
        <f t="shared" ca="1" si="190"/>
        <v>0</v>
      </c>
      <c r="AC535" s="71">
        <f t="shared" ca="1" si="197"/>
        <v>0</v>
      </c>
      <c r="AD535" s="71">
        <f t="shared" ca="1" si="191"/>
        <v>0</v>
      </c>
      <c r="AE535" s="72">
        <f t="shared" si="192"/>
        <v>0</v>
      </c>
      <c r="AF535" s="73">
        <f>IF(A535&gt;入力設定!$B$6*12,0,IF(AND(ISNUMBER(C535),C535&gt;=0,C535&lt;=1),0,1))</f>
        <v>0</v>
      </c>
    </row>
    <row r="536" spans="1:32" ht="21" customHeight="1">
      <c r="A536" s="68">
        <f>531</f>
        <v>531</v>
      </c>
      <c r="B536" s="69">
        <f>EDATE(入力設定!$B$7,A536-1)</f>
        <v>62459</v>
      </c>
      <c r="C536" s="80">
        <f>INDEX(入力設定!$C$15:$C$24,INT((A536-1)/60)+1)</f>
        <v>0.05</v>
      </c>
      <c r="D536" s="70">
        <f t="shared" ca="1" si="193"/>
        <v>0</v>
      </c>
      <c r="E536" s="70">
        <f t="shared" ca="1" si="194"/>
        <v>0</v>
      </c>
      <c r="F536" s="70">
        <f ca="1">IF(D536+Z536&lt;0.000001,0,IF(D536&lt;0.000001,F535,IF(OR(AE536=1,AND(K535&gt;0,入力設定!$B$8="返済額軽減型",入力設定!$B$11="翌月")),IF(C536=0,D536/MAX(1,E536),D536*(C536/12)/(1-(1+C536/12)^(-MAX(1,E536)))),F535)))</f>
        <v>0</v>
      </c>
      <c r="G536" s="70">
        <f t="shared" ca="1" si="176"/>
        <v>0</v>
      </c>
      <c r="H536" s="70">
        <f t="shared" ca="1" si="177"/>
        <v>0</v>
      </c>
      <c r="I536" s="70">
        <f t="shared" ca="1" si="178"/>
        <v>0</v>
      </c>
      <c r="J536" s="70">
        <f>SUMIFS(入力設定!$G$5:$G$24,入力設定!$F$5:$F$24,A536)</f>
        <v>0</v>
      </c>
      <c r="K536" s="70">
        <f t="shared" ca="1" si="179"/>
        <v>0</v>
      </c>
      <c r="L536" s="70">
        <f ca="1">IF(K536&gt;0,入力設定!$B$9,0)</f>
        <v>0</v>
      </c>
      <c r="M536" s="70">
        <f t="shared" ca="1" si="180"/>
        <v>0</v>
      </c>
      <c r="N536" s="70">
        <f ca="1">IF(M536+AA536&lt;0.000001,0,IF(AND(K536&gt;0,入力設定!$B$8="期間短縮型",AA536&lt;0.000001,F536&gt;M536*C536/12),MAX(1,MIN(E536-1,IF(C536=0,ROUNDUP(M536/F536,0),ROUNDUP(-LN(1-M536*(C536/12)/F536)/LN(1+C536/12),0)))),MAX(1,E536-1)))</f>
        <v>0</v>
      </c>
      <c r="O536" s="70">
        <f t="shared" ca="1" si="181"/>
        <v>0</v>
      </c>
      <c r="P536" s="70">
        <f t="shared" ca="1" si="195"/>
        <v>0</v>
      </c>
      <c r="Q536" s="70">
        <f ca="1">IF(OR(A536&gt;入力設定!$B$6*12,P536+AC536&lt;0.000001),0,IF(P536&lt;0.000001,Q535,IF(AE536=1,IF(C536=0,P536/MAX(1,入力設定!$B$6*12-A536+1),P536*(C536/12)/(1-(1+C536/12)^(-MAX(1,入力設定!$B$6*12-A536+1)))),Q535)))</f>
        <v>0</v>
      </c>
      <c r="R536" s="70">
        <f ca="1">IF(P536+AC536&lt;0.000001,0,IF(A536=入力設定!$B$6*12,P536+AB536+AC536,MIN(Q536,P536+AB536+AC536)))</f>
        <v>0</v>
      </c>
      <c r="S536" s="70">
        <f t="shared" ca="1" si="182"/>
        <v>0</v>
      </c>
      <c r="T536" s="70">
        <f t="shared" ca="1" si="183"/>
        <v>0</v>
      </c>
      <c r="U536" s="70">
        <f t="shared" ca="1" si="184"/>
        <v>0</v>
      </c>
      <c r="V536" s="70">
        <f t="shared" ca="1" si="185"/>
        <v>0</v>
      </c>
      <c r="W536" s="70">
        <f t="shared" ca="1" si="186"/>
        <v>0</v>
      </c>
      <c r="X536" s="70">
        <f t="shared" ca="1" si="187"/>
        <v>0</v>
      </c>
      <c r="Y536" s="71">
        <f t="shared" ca="1" si="188"/>
        <v>0</v>
      </c>
      <c r="Z536" s="71">
        <f t="shared" ca="1" si="196"/>
        <v>0</v>
      </c>
      <c r="AA536" s="71">
        <f t="shared" ca="1" si="189"/>
        <v>0</v>
      </c>
      <c r="AB536" s="71">
        <f t="shared" ca="1" si="190"/>
        <v>0</v>
      </c>
      <c r="AC536" s="71">
        <f t="shared" ca="1" si="197"/>
        <v>0</v>
      </c>
      <c r="AD536" s="71">
        <f t="shared" ca="1" si="191"/>
        <v>0</v>
      </c>
      <c r="AE536" s="72">
        <f t="shared" si="192"/>
        <v>0</v>
      </c>
      <c r="AF536" s="73">
        <f>IF(A536&gt;入力設定!$B$6*12,0,IF(AND(ISNUMBER(C536),C536&gt;=0,C536&lt;=1),0,1))</f>
        <v>0</v>
      </c>
    </row>
    <row r="537" spans="1:32" ht="21" customHeight="1">
      <c r="A537" s="68">
        <f>532</f>
        <v>532</v>
      </c>
      <c r="B537" s="69">
        <f>EDATE(入力設定!$B$7,A537-1)</f>
        <v>62490</v>
      </c>
      <c r="C537" s="80">
        <f>INDEX(入力設定!$C$15:$C$24,INT((A537-1)/60)+1)</f>
        <v>0.05</v>
      </c>
      <c r="D537" s="70">
        <f t="shared" ca="1" si="193"/>
        <v>0</v>
      </c>
      <c r="E537" s="70">
        <f t="shared" ca="1" si="194"/>
        <v>0</v>
      </c>
      <c r="F537" s="70">
        <f ca="1">IF(D537+Z537&lt;0.000001,0,IF(D537&lt;0.000001,F536,IF(OR(AE537=1,AND(K536&gt;0,入力設定!$B$8="返済額軽減型",入力設定!$B$11="翌月")),IF(C537=0,D537/MAX(1,E537),D537*(C537/12)/(1-(1+C537/12)^(-MAX(1,E537)))),F536)))</f>
        <v>0</v>
      </c>
      <c r="G537" s="70">
        <f t="shared" ca="1" si="176"/>
        <v>0</v>
      </c>
      <c r="H537" s="70">
        <f t="shared" ca="1" si="177"/>
        <v>0</v>
      </c>
      <c r="I537" s="70">
        <f t="shared" ca="1" si="178"/>
        <v>0</v>
      </c>
      <c r="J537" s="70">
        <f>SUMIFS(入力設定!$G$5:$G$24,入力設定!$F$5:$F$24,A537)</f>
        <v>0</v>
      </c>
      <c r="K537" s="70">
        <f t="shared" ca="1" si="179"/>
        <v>0</v>
      </c>
      <c r="L537" s="70">
        <f ca="1">IF(K537&gt;0,入力設定!$B$9,0)</f>
        <v>0</v>
      </c>
      <c r="M537" s="70">
        <f t="shared" ca="1" si="180"/>
        <v>0</v>
      </c>
      <c r="N537" s="70">
        <f ca="1">IF(M537+AA537&lt;0.000001,0,IF(AND(K537&gt;0,入力設定!$B$8="期間短縮型",AA537&lt;0.000001,F537&gt;M537*C537/12),MAX(1,MIN(E537-1,IF(C537=0,ROUNDUP(M537/F537,0),ROUNDUP(-LN(1-M537*(C537/12)/F537)/LN(1+C537/12),0)))),MAX(1,E537-1)))</f>
        <v>0</v>
      </c>
      <c r="O537" s="70">
        <f t="shared" ca="1" si="181"/>
        <v>0</v>
      </c>
      <c r="P537" s="70">
        <f t="shared" ca="1" si="195"/>
        <v>0</v>
      </c>
      <c r="Q537" s="70">
        <f ca="1">IF(OR(A537&gt;入力設定!$B$6*12,P537+AC537&lt;0.000001),0,IF(P537&lt;0.000001,Q536,IF(AE537=1,IF(C537=0,P537/MAX(1,入力設定!$B$6*12-A537+1),P537*(C537/12)/(1-(1+C537/12)^(-MAX(1,入力設定!$B$6*12-A537+1)))),Q536)))</f>
        <v>0</v>
      </c>
      <c r="R537" s="70">
        <f ca="1">IF(P537+AC537&lt;0.000001,0,IF(A537=入力設定!$B$6*12,P537+AB537+AC537,MIN(Q537,P537+AB537+AC537)))</f>
        <v>0</v>
      </c>
      <c r="S537" s="70">
        <f t="shared" ca="1" si="182"/>
        <v>0</v>
      </c>
      <c r="T537" s="70">
        <f t="shared" ca="1" si="183"/>
        <v>0</v>
      </c>
      <c r="U537" s="70">
        <f t="shared" ca="1" si="184"/>
        <v>0</v>
      </c>
      <c r="V537" s="70">
        <f t="shared" ca="1" si="185"/>
        <v>0</v>
      </c>
      <c r="W537" s="70">
        <f t="shared" ca="1" si="186"/>
        <v>0</v>
      </c>
      <c r="X537" s="70">
        <f t="shared" ca="1" si="187"/>
        <v>0</v>
      </c>
      <c r="Y537" s="71">
        <f t="shared" ca="1" si="188"/>
        <v>0</v>
      </c>
      <c r="Z537" s="71">
        <f t="shared" ca="1" si="196"/>
        <v>0</v>
      </c>
      <c r="AA537" s="71">
        <f t="shared" ca="1" si="189"/>
        <v>0</v>
      </c>
      <c r="AB537" s="71">
        <f t="shared" ca="1" si="190"/>
        <v>0</v>
      </c>
      <c r="AC537" s="71">
        <f t="shared" ca="1" si="197"/>
        <v>0</v>
      </c>
      <c r="AD537" s="71">
        <f t="shared" ca="1" si="191"/>
        <v>0</v>
      </c>
      <c r="AE537" s="72">
        <f t="shared" si="192"/>
        <v>0</v>
      </c>
      <c r="AF537" s="73">
        <f>IF(A537&gt;入力設定!$B$6*12,0,IF(AND(ISNUMBER(C537),C537&gt;=0,C537&lt;=1),0,1))</f>
        <v>0</v>
      </c>
    </row>
    <row r="538" spans="1:32" ht="21" customHeight="1">
      <c r="A538" s="68">
        <f>533</f>
        <v>533</v>
      </c>
      <c r="B538" s="69">
        <f>EDATE(入力設定!$B$7,A538-1)</f>
        <v>62518</v>
      </c>
      <c r="C538" s="80">
        <f>INDEX(入力設定!$C$15:$C$24,INT((A538-1)/60)+1)</f>
        <v>0.05</v>
      </c>
      <c r="D538" s="70">
        <f t="shared" ca="1" si="193"/>
        <v>0</v>
      </c>
      <c r="E538" s="70">
        <f t="shared" ca="1" si="194"/>
        <v>0</v>
      </c>
      <c r="F538" s="70">
        <f ca="1">IF(D538+Z538&lt;0.000001,0,IF(D538&lt;0.000001,F537,IF(OR(AE538=1,AND(K537&gt;0,入力設定!$B$8="返済額軽減型",入力設定!$B$11="翌月")),IF(C538=0,D538/MAX(1,E538),D538*(C538/12)/(1-(1+C538/12)^(-MAX(1,E538)))),F537)))</f>
        <v>0</v>
      </c>
      <c r="G538" s="70">
        <f t="shared" ca="1" si="176"/>
        <v>0</v>
      </c>
      <c r="H538" s="70">
        <f t="shared" ca="1" si="177"/>
        <v>0</v>
      </c>
      <c r="I538" s="70">
        <f t="shared" ca="1" si="178"/>
        <v>0</v>
      </c>
      <c r="J538" s="70">
        <f>SUMIFS(入力設定!$G$5:$G$24,入力設定!$F$5:$F$24,A538)</f>
        <v>0</v>
      </c>
      <c r="K538" s="70">
        <f t="shared" ca="1" si="179"/>
        <v>0</v>
      </c>
      <c r="L538" s="70">
        <f ca="1">IF(K538&gt;0,入力設定!$B$9,0)</f>
        <v>0</v>
      </c>
      <c r="M538" s="70">
        <f t="shared" ca="1" si="180"/>
        <v>0</v>
      </c>
      <c r="N538" s="70">
        <f ca="1">IF(M538+AA538&lt;0.000001,0,IF(AND(K538&gt;0,入力設定!$B$8="期間短縮型",AA538&lt;0.000001,F538&gt;M538*C538/12),MAX(1,MIN(E538-1,IF(C538=0,ROUNDUP(M538/F538,0),ROUNDUP(-LN(1-M538*(C538/12)/F538)/LN(1+C538/12),0)))),MAX(1,E538-1)))</f>
        <v>0</v>
      </c>
      <c r="O538" s="70">
        <f t="shared" ca="1" si="181"/>
        <v>0</v>
      </c>
      <c r="P538" s="70">
        <f t="shared" ca="1" si="195"/>
        <v>0</v>
      </c>
      <c r="Q538" s="70">
        <f ca="1">IF(OR(A538&gt;入力設定!$B$6*12,P538+AC538&lt;0.000001),0,IF(P538&lt;0.000001,Q537,IF(AE538=1,IF(C538=0,P538/MAX(1,入力設定!$B$6*12-A538+1),P538*(C538/12)/(1-(1+C538/12)^(-MAX(1,入力設定!$B$6*12-A538+1)))),Q537)))</f>
        <v>0</v>
      </c>
      <c r="R538" s="70">
        <f ca="1">IF(P538+AC538&lt;0.000001,0,IF(A538=入力設定!$B$6*12,P538+AB538+AC538,MIN(Q538,P538+AB538+AC538)))</f>
        <v>0</v>
      </c>
      <c r="S538" s="70">
        <f t="shared" ca="1" si="182"/>
        <v>0</v>
      </c>
      <c r="T538" s="70">
        <f t="shared" ca="1" si="183"/>
        <v>0</v>
      </c>
      <c r="U538" s="70">
        <f t="shared" ca="1" si="184"/>
        <v>0</v>
      </c>
      <c r="V538" s="70">
        <f t="shared" ca="1" si="185"/>
        <v>0</v>
      </c>
      <c r="W538" s="70">
        <f t="shared" ca="1" si="186"/>
        <v>0</v>
      </c>
      <c r="X538" s="70">
        <f t="shared" ca="1" si="187"/>
        <v>0</v>
      </c>
      <c r="Y538" s="71">
        <f t="shared" ca="1" si="188"/>
        <v>0</v>
      </c>
      <c r="Z538" s="71">
        <f t="shared" ca="1" si="196"/>
        <v>0</v>
      </c>
      <c r="AA538" s="71">
        <f t="shared" ca="1" si="189"/>
        <v>0</v>
      </c>
      <c r="AB538" s="71">
        <f t="shared" ca="1" si="190"/>
        <v>0</v>
      </c>
      <c r="AC538" s="71">
        <f t="shared" ca="1" si="197"/>
        <v>0</v>
      </c>
      <c r="AD538" s="71">
        <f t="shared" ca="1" si="191"/>
        <v>0</v>
      </c>
      <c r="AE538" s="72">
        <f t="shared" si="192"/>
        <v>0</v>
      </c>
      <c r="AF538" s="73">
        <f>IF(A538&gt;入力設定!$B$6*12,0,IF(AND(ISNUMBER(C538),C538&gt;=0,C538&lt;=1),0,1))</f>
        <v>0</v>
      </c>
    </row>
    <row r="539" spans="1:32" ht="21" customHeight="1">
      <c r="A539" s="68">
        <f>534</f>
        <v>534</v>
      </c>
      <c r="B539" s="69">
        <f>EDATE(入力設定!$B$7,A539-1)</f>
        <v>62549</v>
      </c>
      <c r="C539" s="80">
        <f>INDEX(入力設定!$C$15:$C$24,INT((A539-1)/60)+1)</f>
        <v>0.05</v>
      </c>
      <c r="D539" s="70">
        <f t="shared" ca="1" si="193"/>
        <v>0</v>
      </c>
      <c r="E539" s="70">
        <f t="shared" ca="1" si="194"/>
        <v>0</v>
      </c>
      <c r="F539" s="70">
        <f ca="1">IF(D539+Z539&lt;0.000001,0,IF(D539&lt;0.000001,F538,IF(OR(AE539=1,AND(K538&gt;0,入力設定!$B$8="返済額軽減型",入力設定!$B$11="翌月")),IF(C539=0,D539/MAX(1,E539),D539*(C539/12)/(1-(1+C539/12)^(-MAX(1,E539)))),F538)))</f>
        <v>0</v>
      </c>
      <c r="G539" s="70">
        <f t="shared" ca="1" si="176"/>
        <v>0</v>
      </c>
      <c r="H539" s="70">
        <f t="shared" ca="1" si="177"/>
        <v>0</v>
      </c>
      <c r="I539" s="70">
        <f t="shared" ca="1" si="178"/>
        <v>0</v>
      </c>
      <c r="J539" s="70">
        <f>SUMIFS(入力設定!$G$5:$G$24,入力設定!$F$5:$F$24,A539)</f>
        <v>0</v>
      </c>
      <c r="K539" s="70">
        <f t="shared" ca="1" si="179"/>
        <v>0</v>
      </c>
      <c r="L539" s="70">
        <f ca="1">IF(K539&gt;0,入力設定!$B$9,0)</f>
        <v>0</v>
      </c>
      <c r="M539" s="70">
        <f t="shared" ca="1" si="180"/>
        <v>0</v>
      </c>
      <c r="N539" s="70">
        <f ca="1">IF(M539+AA539&lt;0.000001,0,IF(AND(K539&gt;0,入力設定!$B$8="期間短縮型",AA539&lt;0.000001,F539&gt;M539*C539/12),MAX(1,MIN(E539-1,IF(C539=0,ROUNDUP(M539/F539,0),ROUNDUP(-LN(1-M539*(C539/12)/F539)/LN(1+C539/12),0)))),MAX(1,E539-1)))</f>
        <v>0</v>
      </c>
      <c r="O539" s="70">
        <f t="shared" ca="1" si="181"/>
        <v>0</v>
      </c>
      <c r="P539" s="70">
        <f t="shared" ca="1" si="195"/>
        <v>0</v>
      </c>
      <c r="Q539" s="70">
        <f ca="1">IF(OR(A539&gt;入力設定!$B$6*12,P539+AC539&lt;0.000001),0,IF(P539&lt;0.000001,Q538,IF(AE539=1,IF(C539=0,P539/MAX(1,入力設定!$B$6*12-A539+1),P539*(C539/12)/(1-(1+C539/12)^(-MAX(1,入力設定!$B$6*12-A539+1)))),Q538)))</f>
        <v>0</v>
      </c>
      <c r="R539" s="70">
        <f ca="1">IF(P539+AC539&lt;0.000001,0,IF(A539=入力設定!$B$6*12,P539+AB539+AC539,MIN(Q539,P539+AB539+AC539)))</f>
        <v>0</v>
      </c>
      <c r="S539" s="70">
        <f t="shared" ca="1" si="182"/>
        <v>0</v>
      </c>
      <c r="T539" s="70">
        <f t="shared" ca="1" si="183"/>
        <v>0</v>
      </c>
      <c r="U539" s="70">
        <f t="shared" ca="1" si="184"/>
        <v>0</v>
      </c>
      <c r="V539" s="70">
        <f t="shared" ca="1" si="185"/>
        <v>0</v>
      </c>
      <c r="W539" s="70">
        <f t="shared" ca="1" si="186"/>
        <v>0</v>
      </c>
      <c r="X539" s="70">
        <f t="shared" ca="1" si="187"/>
        <v>0</v>
      </c>
      <c r="Y539" s="71">
        <f t="shared" ca="1" si="188"/>
        <v>0</v>
      </c>
      <c r="Z539" s="71">
        <f t="shared" ca="1" si="196"/>
        <v>0</v>
      </c>
      <c r="AA539" s="71">
        <f t="shared" ca="1" si="189"/>
        <v>0</v>
      </c>
      <c r="AB539" s="71">
        <f t="shared" ca="1" si="190"/>
        <v>0</v>
      </c>
      <c r="AC539" s="71">
        <f t="shared" ca="1" si="197"/>
        <v>0</v>
      </c>
      <c r="AD539" s="71">
        <f t="shared" ca="1" si="191"/>
        <v>0</v>
      </c>
      <c r="AE539" s="72">
        <f t="shared" si="192"/>
        <v>0</v>
      </c>
      <c r="AF539" s="73">
        <f>IF(A539&gt;入力設定!$B$6*12,0,IF(AND(ISNUMBER(C539),C539&gt;=0,C539&lt;=1),0,1))</f>
        <v>0</v>
      </c>
    </row>
    <row r="540" spans="1:32" ht="21" customHeight="1">
      <c r="A540" s="68">
        <f>535</f>
        <v>535</v>
      </c>
      <c r="B540" s="69">
        <f>EDATE(入力設定!$B$7,A540-1)</f>
        <v>62579</v>
      </c>
      <c r="C540" s="80">
        <f>INDEX(入力設定!$C$15:$C$24,INT((A540-1)/60)+1)</f>
        <v>0.05</v>
      </c>
      <c r="D540" s="70">
        <f t="shared" ca="1" si="193"/>
        <v>0</v>
      </c>
      <c r="E540" s="70">
        <f t="shared" ca="1" si="194"/>
        <v>0</v>
      </c>
      <c r="F540" s="70">
        <f ca="1">IF(D540+Z540&lt;0.000001,0,IF(D540&lt;0.000001,F539,IF(OR(AE540=1,AND(K539&gt;0,入力設定!$B$8="返済額軽減型",入力設定!$B$11="翌月")),IF(C540=0,D540/MAX(1,E540),D540*(C540/12)/(1-(1+C540/12)^(-MAX(1,E540)))),F539)))</f>
        <v>0</v>
      </c>
      <c r="G540" s="70">
        <f t="shared" ca="1" si="176"/>
        <v>0</v>
      </c>
      <c r="H540" s="70">
        <f t="shared" ca="1" si="177"/>
        <v>0</v>
      </c>
      <c r="I540" s="70">
        <f t="shared" ca="1" si="178"/>
        <v>0</v>
      </c>
      <c r="J540" s="70">
        <f>SUMIFS(入力設定!$G$5:$G$24,入力設定!$F$5:$F$24,A540)</f>
        <v>0</v>
      </c>
      <c r="K540" s="70">
        <f t="shared" ca="1" si="179"/>
        <v>0</v>
      </c>
      <c r="L540" s="70">
        <f ca="1">IF(K540&gt;0,入力設定!$B$9,0)</f>
        <v>0</v>
      </c>
      <c r="M540" s="70">
        <f t="shared" ca="1" si="180"/>
        <v>0</v>
      </c>
      <c r="N540" s="70">
        <f ca="1">IF(M540+AA540&lt;0.000001,0,IF(AND(K540&gt;0,入力設定!$B$8="期間短縮型",AA540&lt;0.000001,F540&gt;M540*C540/12),MAX(1,MIN(E540-1,IF(C540=0,ROUNDUP(M540/F540,0),ROUNDUP(-LN(1-M540*(C540/12)/F540)/LN(1+C540/12),0)))),MAX(1,E540-1)))</f>
        <v>0</v>
      </c>
      <c r="O540" s="70">
        <f t="shared" ca="1" si="181"/>
        <v>0</v>
      </c>
      <c r="P540" s="70">
        <f t="shared" ca="1" si="195"/>
        <v>0</v>
      </c>
      <c r="Q540" s="70">
        <f ca="1">IF(OR(A540&gt;入力設定!$B$6*12,P540+AC540&lt;0.000001),0,IF(P540&lt;0.000001,Q539,IF(AE540=1,IF(C540=0,P540/MAX(1,入力設定!$B$6*12-A540+1),P540*(C540/12)/(1-(1+C540/12)^(-MAX(1,入力設定!$B$6*12-A540+1)))),Q539)))</f>
        <v>0</v>
      </c>
      <c r="R540" s="70">
        <f ca="1">IF(P540+AC540&lt;0.000001,0,IF(A540=入力設定!$B$6*12,P540+AB540+AC540,MIN(Q540,P540+AB540+AC540)))</f>
        <v>0</v>
      </c>
      <c r="S540" s="70">
        <f t="shared" ca="1" si="182"/>
        <v>0</v>
      </c>
      <c r="T540" s="70">
        <f t="shared" ca="1" si="183"/>
        <v>0</v>
      </c>
      <c r="U540" s="70">
        <f t="shared" ca="1" si="184"/>
        <v>0</v>
      </c>
      <c r="V540" s="70">
        <f t="shared" ca="1" si="185"/>
        <v>0</v>
      </c>
      <c r="W540" s="70">
        <f t="shared" ca="1" si="186"/>
        <v>0</v>
      </c>
      <c r="X540" s="70">
        <f t="shared" ca="1" si="187"/>
        <v>0</v>
      </c>
      <c r="Y540" s="71">
        <f t="shared" ca="1" si="188"/>
        <v>0</v>
      </c>
      <c r="Z540" s="71">
        <f t="shared" ca="1" si="196"/>
        <v>0</v>
      </c>
      <c r="AA540" s="71">
        <f t="shared" ca="1" si="189"/>
        <v>0</v>
      </c>
      <c r="AB540" s="71">
        <f t="shared" ca="1" si="190"/>
        <v>0</v>
      </c>
      <c r="AC540" s="71">
        <f t="shared" ca="1" si="197"/>
        <v>0</v>
      </c>
      <c r="AD540" s="71">
        <f t="shared" ca="1" si="191"/>
        <v>0</v>
      </c>
      <c r="AE540" s="72">
        <f t="shared" si="192"/>
        <v>0</v>
      </c>
      <c r="AF540" s="73">
        <f>IF(A540&gt;入力設定!$B$6*12,0,IF(AND(ISNUMBER(C540),C540&gt;=0,C540&lt;=1),0,1))</f>
        <v>0</v>
      </c>
    </row>
    <row r="541" spans="1:32" ht="21" customHeight="1">
      <c r="A541" s="68">
        <f>536</f>
        <v>536</v>
      </c>
      <c r="B541" s="69">
        <f>EDATE(入力設定!$B$7,A541-1)</f>
        <v>62610</v>
      </c>
      <c r="C541" s="80">
        <f>INDEX(入力設定!$C$15:$C$24,INT((A541-1)/60)+1)</f>
        <v>0.05</v>
      </c>
      <c r="D541" s="70">
        <f t="shared" ca="1" si="193"/>
        <v>0</v>
      </c>
      <c r="E541" s="70">
        <f t="shared" ca="1" si="194"/>
        <v>0</v>
      </c>
      <c r="F541" s="70">
        <f ca="1">IF(D541+Z541&lt;0.000001,0,IF(D541&lt;0.000001,F540,IF(OR(AE541=1,AND(K540&gt;0,入力設定!$B$8="返済額軽減型",入力設定!$B$11="翌月")),IF(C541=0,D541/MAX(1,E541),D541*(C541/12)/(1-(1+C541/12)^(-MAX(1,E541)))),F540)))</f>
        <v>0</v>
      </c>
      <c r="G541" s="70">
        <f t="shared" ca="1" si="176"/>
        <v>0</v>
      </c>
      <c r="H541" s="70">
        <f t="shared" ca="1" si="177"/>
        <v>0</v>
      </c>
      <c r="I541" s="70">
        <f t="shared" ca="1" si="178"/>
        <v>0</v>
      </c>
      <c r="J541" s="70">
        <f>SUMIFS(入力設定!$G$5:$G$24,入力設定!$F$5:$F$24,A541)</f>
        <v>0</v>
      </c>
      <c r="K541" s="70">
        <f t="shared" ca="1" si="179"/>
        <v>0</v>
      </c>
      <c r="L541" s="70">
        <f ca="1">IF(K541&gt;0,入力設定!$B$9,0)</f>
        <v>0</v>
      </c>
      <c r="M541" s="70">
        <f t="shared" ca="1" si="180"/>
        <v>0</v>
      </c>
      <c r="N541" s="70">
        <f ca="1">IF(M541+AA541&lt;0.000001,0,IF(AND(K541&gt;0,入力設定!$B$8="期間短縮型",AA541&lt;0.000001,F541&gt;M541*C541/12),MAX(1,MIN(E541-1,IF(C541=0,ROUNDUP(M541/F541,0),ROUNDUP(-LN(1-M541*(C541/12)/F541)/LN(1+C541/12),0)))),MAX(1,E541-1)))</f>
        <v>0</v>
      </c>
      <c r="O541" s="70">
        <f t="shared" ca="1" si="181"/>
        <v>0</v>
      </c>
      <c r="P541" s="70">
        <f t="shared" ca="1" si="195"/>
        <v>0</v>
      </c>
      <c r="Q541" s="70">
        <f ca="1">IF(OR(A541&gt;入力設定!$B$6*12,P541+AC541&lt;0.000001),0,IF(P541&lt;0.000001,Q540,IF(AE541=1,IF(C541=0,P541/MAX(1,入力設定!$B$6*12-A541+1),P541*(C541/12)/(1-(1+C541/12)^(-MAX(1,入力設定!$B$6*12-A541+1)))),Q540)))</f>
        <v>0</v>
      </c>
      <c r="R541" s="70">
        <f ca="1">IF(P541+AC541&lt;0.000001,0,IF(A541=入力設定!$B$6*12,P541+AB541+AC541,MIN(Q541,P541+AB541+AC541)))</f>
        <v>0</v>
      </c>
      <c r="S541" s="70">
        <f t="shared" ca="1" si="182"/>
        <v>0</v>
      </c>
      <c r="T541" s="70">
        <f t="shared" ca="1" si="183"/>
        <v>0</v>
      </c>
      <c r="U541" s="70">
        <f t="shared" ca="1" si="184"/>
        <v>0</v>
      </c>
      <c r="V541" s="70">
        <f t="shared" ca="1" si="185"/>
        <v>0</v>
      </c>
      <c r="W541" s="70">
        <f t="shared" ca="1" si="186"/>
        <v>0</v>
      </c>
      <c r="X541" s="70">
        <f t="shared" ca="1" si="187"/>
        <v>0</v>
      </c>
      <c r="Y541" s="71">
        <f t="shared" ca="1" si="188"/>
        <v>0</v>
      </c>
      <c r="Z541" s="71">
        <f t="shared" ca="1" si="196"/>
        <v>0</v>
      </c>
      <c r="AA541" s="71">
        <f t="shared" ca="1" si="189"/>
        <v>0</v>
      </c>
      <c r="AB541" s="71">
        <f t="shared" ca="1" si="190"/>
        <v>0</v>
      </c>
      <c r="AC541" s="71">
        <f t="shared" ca="1" si="197"/>
        <v>0</v>
      </c>
      <c r="AD541" s="71">
        <f t="shared" ca="1" si="191"/>
        <v>0</v>
      </c>
      <c r="AE541" s="72">
        <f t="shared" si="192"/>
        <v>0</v>
      </c>
      <c r="AF541" s="73">
        <f>IF(A541&gt;入力設定!$B$6*12,0,IF(AND(ISNUMBER(C541),C541&gt;=0,C541&lt;=1),0,1))</f>
        <v>0</v>
      </c>
    </row>
    <row r="542" spans="1:32" ht="21" customHeight="1">
      <c r="A542" s="68">
        <f>537</f>
        <v>537</v>
      </c>
      <c r="B542" s="69">
        <f>EDATE(入力設定!$B$7,A542-1)</f>
        <v>62640</v>
      </c>
      <c r="C542" s="80">
        <f>INDEX(入力設定!$C$15:$C$24,INT((A542-1)/60)+1)</f>
        <v>0.05</v>
      </c>
      <c r="D542" s="70">
        <f t="shared" ca="1" si="193"/>
        <v>0</v>
      </c>
      <c r="E542" s="70">
        <f t="shared" ca="1" si="194"/>
        <v>0</v>
      </c>
      <c r="F542" s="70">
        <f ca="1">IF(D542+Z542&lt;0.000001,0,IF(D542&lt;0.000001,F541,IF(OR(AE542=1,AND(K541&gt;0,入力設定!$B$8="返済額軽減型",入力設定!$B$11="翌月")),IF(C542=0,D542/MAX(1,E542),D542*(C542/12)/(1-(1+C542/12)^(-MAX(1,E542)))),F541)))</f>
        <v>0</v>
      </c>
      <c r="G542" s="70">
        <f t="shared" ca="1" si="176"/>
        <v>0</v>
      </c>
      <c r="H542" s="70">
        <f t="shared" ca="1" si="177"/>
        <v>0</v>
      </c>
      <c r="I542" s="70">
        <f t="shared" ca="1" si="178"/>
        <v>0</v>
      </c>
      <c r="J542" s="70">
        <f>SUMIFS(入力設定!$G$5:$G$24,入力設定!$F$5:$F$24,A542)</f>
        <v>0</v>
      </c>
      <c r="K542" s="70">
        <f t="shared" ca="1" si="179"/>
        <v>0</v>
      </c>
      <c r="L542" s="70">
        <f ca="1">IF(K542&gt;0,入力設定!$B$9,0)</f>
        <v>0</v>
      </c>
      <c r="M542" s="70">
        <f t="shared" ca="1" si="180"/>
        <v>0</v>
      </c>
      <c r="N542" s="70">
        <f ca="1">IF(M542+AA542&lt;0.000001,0,IF(AND(K542&gt;0,入力設定!$B$8="期間短縮型",AA542&lt;0.000001,F542&gt;M542*C542/12),MAX(1,MIN(E542-1,IF(C542=0,ROUNDUP(M542/F542,0),ROUNDUP(-LN(1-M542*(C542/12)/F542)/LN(1+C542/12),0)))),MAX(1,E542-1)))</f>
        <v>0</v>
      </c>
      <c r="O542" s="70">
        <f t="shared" ca="1" si="181"/>
        <v>0</v>
      </c>
      <c r="P542" s="70">
        <f t="shared" ca="1" si="195"/>
        <v>0</v>
      </c>
      <c r="Q542" s="70">
        <f ca="1">IF(OR(A542&gt;入力設定!$B$6*12,P542+AC542&lt;0.000001),0,IF(P542&lt;0.000001,Q541,IF(AE542=1,IF(C542=0,P542/MAX(1,入力設定!$B$6*12-A542+1),P542*(C542/12)/(1-(1+C542/12)^(-MAX(1,入力設定!$B$6*12-A542+1)))),Q541)))</f>
        <v>0</v>
      </c>
      <c r="R542" s="70">
        <f ca="1">IF(P542+AC542&lt;0.000001,0,IF(A542=入力設定!$B$6*12,P542+AB542+AC542,MIN(Q542,P542+AB542+AC542)))</f>
        <v>0</v>
      </c>
      <c r="S542" s="70">
        <f t="shared" ca="1" si="182"/>
        <v>0</v>
      </c>
      <c r="T542" s="70">
        <f t="shared" ca="1" si="183"/>
        <v>0</v>
      </c>
      <c r="U542" s="70">
        <f t="shared" ca="1" si="184"/>
        <v>0</v>
      </c>
      <c r="V542" s="70">
        <f t="shared" ca="1" si="185"/>
        <v>0</v>
      </c>
      <c r="W542" s="70">
        <f t="shared" ca="1" si="186"/>
        <v>0</v>
      </c>
      <c r="X542" s="70">
        <f t="shared" ca="1" si="187"/>
        <v>0</v>
      </c>
      <c r="Y542" s="71">
        <f t="shared" ca="1" si="188"/>
        <v>0</v>
      </c>
      <c r="Z542" s="71">
        <f t="shared" ca="1" si="196"/>
        <v>0</v>
      </c>
      <c r="AA542" s="71">
        <f t="shared" ca="1" si="189"/>
        <v>0</v>
      </c>
      <c r="AB542" s="71">
        <f t="shared" ca="1" si="190"/>
        <v>0</v>
      </c>
      <c r="AC542" s="71">
        <f t="shared" ca="1" si="197"/>
        <v>0</v>
      </c>
      <c r="AD542" s="71">
        <f t="shared" ca="1" si="191"/>
        <v>0</v>
      </c>
      <c r="AE542" s="72">
        <f t="shared" si="192"/>
        <v>0</v>
      </c>
      <c r="AF542" s="73">
        <f>IF(A542&gt;入力設定!$B$6*12,0,IF(AND(ISNUMBER(C542),C542&gt;=0,C542&lt;=1),0,1))</f>
        <v>0</v>
      </c>
    </row>
    <row r="543" spans="1:32" ht="21" customHeight="1">
      <c r="A543" s="68">
        <f>538</f>
        <v>538</v>
      </c>
      <c r="B543" s="69">
        <f>EDATE(入力設定!$B$7,A543-1)</f>
        <v>62671</v>
      </c>
      <c r="C543" s="80">
        <f>INDEX(入力設定!$C$15:$C$24,INT((A543-1)/60)+1)</f>
        <v>0.05</v>
      </c>
      <c r="D543" s="70">
        <f t="shared" ca="1" si="193"/>
        <v>0</v>
      </c>
      <c r="E543" s="70">
        <f t="shared" ca="1" si="194"/>
        <v>0</v>
      </c>
      <c r="F543" s="70">
        <f ca="1">IF(D543+Z543&lt;0.000001,0,IF(D543&lt;0.000001,F542,IF(OR(AE543=1,AND(K542&gt;0,入力設定!$B$8="返済額軽減型",入力設定!$B$11="翌月")),IF(C543=0,D543/MAX(1,E543),D543*(C543/12)/(1-(1+C543/12)^(-MAX(1,E543)))),F542)))</f>
        <v>0</v>
      </c>
      <c r="G543" s="70">
        <f t="shared" ca="1" si="176"/>
        <v>0</v>
      </c>
      <c r="H543" s="70">
        <f t="shared" ca="1" si="177"/>
        <v>0</v>
      </c>
      <c r="I543" s="70">
        <f t="shared" ca="1" si="178"/>
        <v>0</v>
      </c>
      <c r="J543" s="70">
        <f>SUMIFS(入力設定!$G$5:$G$24,入力設定!$F$5:$F$24,A543)</f>
        <v>0</v>
      </c>
      <c r="K543" s="70">
        <f t="shared" ca="1" si="179"/>
        <v>0</v>
      </c>
      <c r="L543" s="70">
        <f ca="1">IF(K543&gt;0,入力設定!$B$9,0)</f>
        <v>0</v>
      </c>
      <c r="M543" s="70">
        <f t="shared" ca="1" si="180"/>
        <v>0</v>
      </c>
      <c r="N543" s="70">
        <f ca="1">IF(M543+AA543&lt;0.000001,0,IF(AND(K543&gt;0,入力設定!$B$8="期間短縮型",AA543&lt;0.000001,F543&gt;M543*C543/12),MAX(1,MIN(E543-1,IF(C543=0,ROUNDUP(M543/F543,0),ROUNDUP(-LN(1-M543*(C543/12)/F543)/LN(1+C543/12),0)))),MAX(1,E543-1)))</f>
        <v>0</v>
      </c>
      <c r="O543" s="70">
        <f t="shared" ca="1" si="181"/>
        <v>0</v>
      </c>
      <c r="P543" s="70">
        <f t="shared" ca="1" si="195"/>
        <v>0</v>
      </c>
      <c r="Q543" s="70">
        <f ca="1">IF(OR(A543&gt;入力設定!$B$6*12,P543+AC543&lt;0.000001),0,IF(P543&lt;0.000001,Q542,IF(AE543=1,IF(C543=0,P543/MAX(1,入力設定!$B$6*12-A543+1),P543*(C543/12)/(1-(1+C543/12)^(-MAX(1,入力設定!$B$6*12-A543+1)))),Q542)))</f>
        <v>0</v>
      </c>
      <c r="R543" s="70">
        <f ca="1">IF(P543+AC543&lt;0.000001,0,IF(A543=入力設定!$B$6*12,P543+AB543+AC543,MIN(Q543,P543+AB543+AC543)))</f>
        <v>0</v>
      </c>
      <c r="S543" s="70">
        <f t="shared" ca="1" si="182"/>
        <v>0</v>
      </c>
      <c r="T543" s="70">
        <f t="shared" ca="1" si="183"/>
        <v>0</v>
      </c>
      <c r="U543" s="70">
        <f t="shared" ca="1" si="184"/>
        <v>0</v>
      </c>
      <c r="V543" s="70">
        <f t="shared" ca="1" si="185"/>
        <v>0</v>
      </c>
      <c r="W543" s="70">
        <f t="shared" ca="1" si="186"/>
        <v>0</v>
      </c>
      <c r="X543" s="70">
        <f t="shared" ca="1" si="187"/>
        <v>0</v>
      </c>
      <c r="Y543" s="71">
        <f t="shared" ca="1" si="188"/>
        <v>0</v>
      </c>
      <c r="Z543" s="71">
        <f t="shared" ca="1" si="196"/>
        <v>0</v>
      </c>
      <c r="AA543" s="71">
        <f t="shared" ca="1" si="189"/>
        <v>0</v>
      </c>
      <c r="AB543" s="71">
        <f t="shared" ca="1" si="190"/>
        <v>0</v>
      </c>
      <c r="AC543" s="71">
        <f t="shared" ca="1" si="197"/>
        <v>0</v>
      </c>
      <c r="AD543" s="71">
        <f t="shared" ca="1" si="191"/>
        <v>0</v>
      </c>
      <c r="AE543" s="72">
        <f t="shared" si="192"/>
        <v>0</v>
      </c>
      <c r="AF543" s="73">
        <f>IF(A543&gt;入力設定!$B$6*12,0,IF(AND(ISNUMBER(C543),C543&gt;=0,C543&lt;=1),0,1))</f>
        <v>0</v>
      </c>
    </row>
    <row r="544" spans="1:32" ht="21" customHeight="1">
      <c r="A544" s="68">
        <f>539</f>
        <v>539</v>
      </c>
      <c r="B544" s="69">
        <f>EDATE(入力設定!$B$7,A544-1)</f>
        <v>62702</v>
      </c>
      <c r="C544" s="80">
        <f>INDEX(入力設定!$C$15:$C$24,INT((A544-1)/60)+1)</f>
        <v>0.05</v>
      </c>
      <c r="D544" s="70">
        <f t="shared" ca="1" si="193"/>
        <v>0</v>
      </c>
      <c r="E544" s="70">
        <f t="shared" ca="1" si="194"/>
        <v>0</v>
      </c>
      <c r="F544" s="70">
        <f ca="1">IF(D544+Z544&lt;0.000001,0,IF(D544&lt;0.000001,F543,IF(OR(AE544=1,AND(K543&gt;0,入力設定!$B$8="返済額軽減型",入力設定!$B$11="翌月")),IF(C544=0,D544/MAX(1,E544),D544*(C544/12)/(1-(1+C544/12)^(-MAX(1,E544)))),F543)))</f>
        <v>0</v>
      </c>
      <c r="G544" s="70">
        <f t="shared" ca="1" si="176"/>
        <v>0</v>
      </c>
      <c r="H544" s="70">
        <f t="shared" ca="1" si="177"/>
        <v>0</v>
      </c>
      <c r="I544" s="70">
        <f t="shared" ca="1" si="178"/>
        <v>0</v>
      </c>
      <c r="J544" s="70">
        <f>SUMIFS(入力設定!$G$5:$G$24,入力設定!$F$5:$F$24,A544)</f>
        <v>0</v>
      </c>
      <c r="K544" s="70">
        <f t="shared" ca="1" si="179"/>
        <v>0</v>
      </c>
      <c r="L544" s="70">
        <f ca="1">IF(K544&gt;0,入力設定!$B$9,0)</f>
        <v>0</v>
      </c>
      <c r="M544" s="70">
        <f t="shared" ca="1" si="180"/>
        <v>0</v>
      </c>
      <c r="N544" s="70">
        <f ca="1">IF(M544+AA544&lt;0.000001,0,IF(AND(K544&gt;0,入力設定!$B$8="期間短縮型",AA544&lt;0.000001,F544&gt;M544*C544/12),MAX(1,MIN(E544-1,IF(C544=0,ROUNDUP(M544/F544,0),ROUNDUP(-LN(1-M544*(C544/12)/F544)/LN(1+C544/12),0)))),MAX(1,E544-1)))</f>
        <v>0</v>
      </c>
      <c r="O544" s="70">
        <f t="shared" ca="1" si="181"/>
        <v>0</v>
      </c>
      <c r="P544" s="70">
        <f t="shared" ca="1" si="195"/>
        <v>0</v>
      </c>
      <c r="Q544" s="70">
        <f ca="1">IF(OR(A544&gt;入力設定!$B$6*12,P544+AC544&lt;0.000001),0,IF(P544&lt;0.000001,Q543,IF(AE544=1,IF(C544=0,P544/MAX(1,入力設定!$B$6*12-A544+1),P544*(C544/12)/(1-(1+C544/12)^(-MAX(1,入力設定!$B$6*12-A544+1)))),Q543)))</f>
        <v>0</v>
      </c>
      <c r="R544" s="70">
        <f ca="1">IF(P544+AC544&lt;0.000001,0,IF(A544=入力設定!$B$6*12,P544+AB544+AC544,MIN(Q544,P544+AB544+AC544)))</f>
        <v>0</v>
      </c>
      <c r="S544" s="70">
        <f t="shared" ca="1" si="182"/>
        <v>0</v>
      </c>
      <c r="T544" s="70">
        <f t="shared" ca="1" si="183"/>
        <v>0</v>
      </c>
      <c r="U544" s="70">
        <f t="shared" ca="1" si="184"/>
        <v>0</v>
      </c>
      <c r="V544" s="70">
        <f t="shared" ca="1" si="185"/>
        <v>0</v>
      </c>
      <c r="W544" s="70">
        <f t="shared" ca="1" si="186"/>
        <v>0</v>
      </c>
      <c r="X544" s="70">
        <f t="shared" ca="1" si="187"/>
        <v>0</v>
      </c>
      <c r="Y544" s="71">
        <f t="shared" ca="1" si="188"/>
        <v>0</v>
      </c>
      <c r="Z544" s="71">
        <f t="shared" ca="1" si="196"/>
        <v>0</v>
      </c>
      <c r="AA544" s="71">
        <f t="shared" ca="1" si="189"/>
        <v>0</v>
      </c>
      <c r="AB544" s="71">
        <f t="shared" ca="1" si="190"/>
        <v>0</v>
      </c>
      <c r="AC544" s="71">
        <f t="shared" ca="1" si="197"/>
        <v>0</v>
      </c>
      <c r="AD544" s="71">
        <f t="shared" ca="1" si="191"/>
        <v>0</v>
      </c>
      <c r="AE544" s="72">
        <f t="shared" si="192"/>
        <v>0</v>
      </c>
      <c r="AF544" s="73">
        <f>IF(A544&gt;入力設定!$B$6*12,0,IF(AND(ISNUMBER(C544),C544&gt;=0,C544&lt;=1),0,1))</f>
        <v>0</v>
      </c>
    </row>
    <row r="545" spans="1:32" ht="21" customHeight="1">
      <c r="A545" s="68">
        <f>540</f>
        <v>540</v>
      </c>
      <c r="B545" s="69">
        <f>EDATE(入力設定!$B$7,A545-1)</f>
        <v>62732</v>
      </c>
      <c r="C545" s="80">
        <f>INDEX(入力設定!$C$15:$C$24,INT((A545-1)/60)+1)</f>
        <v>0.05</v>
      </c>
      <c r="D545" s="70">
        <f t="shared" ca="1" si="193"/>
        <v>0</v>
      </c>
      <c r="E545" s="70">
        <f t="shared" ca="1" si="194"/>
        <v>0</v>
      </c>
      <c r="F545" s="70">
        <f ca="1">IF(D545+Z545&lt;0.000001,0,IF(D545&lt;0.000001,F544,IF(OR(AE545=1,AND(K544&gt;0,入力設定!$B$8="返済額軽減型",入力設定!$B$11="翌月")),IF(C545=0,D545/MAX(1,E545),D545*(C545/12)/(1-(1+C545/12)^(-MAX(1,E545)))),F544)))</f>
        <v>0</v>
      </c>
      <c r="G545" s="70">
        <f t="shared" ca="1" si="176"/>
        <v>0</v>
      </c>
      <c r="H545" s="70">
        <f t="shared" ca="1" si="177"/>
        <v>0</v>
      </c>
      <c r="I545" s="70">
        <f t="shared" ca="1" si="178"/>
        <v>0</v>
      </c>
      <c r="J545" s="70">
        <f>SUMIFS(入力設定!$G$5:$G$24,入力設定!$F$5:$F$24,A545)</f>
        <v>0</v>
      </c>
      <c r="K545" s="70">
        <f t="shared" ca="1" si="179"/>
        <v>0</v>
      </c>
      <c r="L545" s="70">
        <f ca="1">IF(K545&gt;0,入力設定!$B$9,0)</f>
        <v>0</v>
      </c>
      <c r="M545" s="70">
        <f t="shared" ca="1" si="180"/>
        <v>0</v>
      </c>
      <c r="N545" s="70">
        <f ca="1">IF(M545+AA545&lt;0.000001,0,IF(AND(K545&gt;0,入力設定!$B$8="期間短縮型",AA545&lt;0.000001,F545&gt;M545*C545/12),MAX(1,MIN(E545-1,IF(C545=0,ROUNDUP(M545/F545,0),ROUNDUP(-LN(1-M545*(C545/12)/F545)/LN(1+C545/12),0)))),MAX(1,E545-1)))</f>
        <v>0</v>
      </c>
      <c r="O545" s="70">
        <f t="shared" ca="1" si="181"/>
        <v>0</v>
      </c>
      <c r="P545" s="70">
        <f t="shared" ca="1" si="195"/>
        <v>0</v>
      </c>
      <c r="Q545" s="70">
        <f ca="1">IF(OR(A545&gt;入力設定!$B$6*12,P545+AC545&lt;0.000001),0,IF(P545&lt;0.000001,Q544,IF(AE545=1,IF(C545=0,P545/MAX(1,入力設定!$B$6*12-A545+1),P545*(C545/12)/(1-(1+C545/12)^(-MAX(1,入力設定!$B$6*12-A545+1)))),Q544)))</f>
        <v>0</v>
      </c>
      <c r="R545" s="70">
        <f ca="1">IF(P545+AC545&lt;0.000001,0,IF(A545=入力設定!$B$6*12,P545+AB545+AC545,MIN(Q545,P545+AB545+AC545)))</f>
        <v>0</v>
      </c>
      <c r="S545" s="70">
        <f t="shared" ca="1" si="182"/>
        <v>0</v>
      </c>
      <c r="T545" s="70">
        <f t="shared" ca="1" si="183"/>
        <v>0</v>
      </c>
      <c r="U545" s="70">
        <f t="shared" ca="1" si="184"/>
        <v>0</v>
      </c>
      <c r="V545" s="70">
        <f t="shared" ca="1" si="185"/>
        <v>0</v>
      </c>
      <c r="W545" s="70">
        <f t="shared" ca="1" si="186"/>
        <v>0</v>
      </c>
      <c r="X545" s="70">
        <f t="shared" ca="1" si="187"/>
        <v>0</v>
      </c>
      <c r="Y545" s="71">
        <f t="shared" ca="1" si="188"/>
        <v>0</v>
      </c>
      <c r="Z545" s="71">
        <f t="shared" ca="1" si="196"/>
        <v>0</v>
      </c>
      <c r="AA545" s="71">
        <f t="shared" ca="1" si="189"/>
        <v>0</v>
      </c>
      <c r="AB545" s="71">
        <f t="shared" ca="1" si="190"/>
        <v>0</v>
      </c>
      <c r="AC545" s="71">
        <f t="shared" ca="1" si="197"/>
        <v>0</v>
      </c>
      <c r="AD545" s="71">
        <f t="shared" ca="1" si="191"/>
        <v>0</v>
      </c>
      <c r="AE545" s="72">
        <f t="shared" si="192"/>
        <v>0</v>
      </c>
      <c r="AF545" s="73">
        <f>IF(A545&gt;入力設定!$B$6*12,0,IF(AND(ISNUMBER(C545),C545&gt;=0,C545&lt;=1),0,1))</f>
        <v>0</v>
      </c>
    </row>
    <row r="546" spans="1:32" ht="21" customHeight="1">
      <c r="A546" s="68">
        <f>541</f>
        <v>541</v>
      </c>
      <c r="B546" s="69">
        <f>EDATE(入力設定!$B$7,A546-1)</f>
        <v>62763</v>
      </c>
      <c r="C546" s="80">
        <f>INDEX(入力設定!$C$15:$C$24,INT((A546-1)/60)+1)</f>
        <v>0.05</v>
      </c>
      <c r="D546" s="70">
        <f t="shared" ca="1" si="193"/>
        <v>0</v>
      </c>
      <c r="E546" s="70">
        <f t="shared" ca="1" si="194"/>
        <v>0</v>
      </c>
      <c r="F546" s="70">
        <f ca="1">IF(D546+Z546&lt;0.000001,0,IF(D546&lt;0.000001,F545,IF(OR(AE546=1,AND(K545&gt;0,入力設定!$B$8="返済額軽減型",入力設定!$B$11="翌月")),IF(C546=0,D546/MAX(1,E546),D546*(C546/12)/(1-(1+C546/12)^(-MAX(1,E546)))),F545)))</f>
        <v>0</v>
      </c>
      <c r="G546" s="70">
        <f t="shared" ca="1" si="176"/>
        <v>0</v>
      </c>
      <c r="H546" s="70">
        <f t="shared" ca="1" si="177"/>
        <v>0</v>
      </c>
      <c r="I546" s="70">
        <f t="shared" ca="1" si="178"/>
        <v>0</v>
      </c>
      <c r="J546" s="70">
        <f>SUMIFS(入力設定!$G$5:$G$24,入力設定!$F$5:$F$24,A546)</f>
        <v>0</v>
      </c>
      <c r="K546" s="70">
        <f t="shared" ca="1" si="179"/>
        <v>0</v>
      </c>
      <c r="L546" s="70">
        <f ca="1">IF(K546&gt;0,入力設定!$B$9,0)</f>
        <v>0</v>
      </c>
      <c r="M546" s="70">
        <f t="shared" ca="1" si="180"/>
        <v>0</v>
      </c>
      <c r="N546" s="70">
        <f ca="1">IF(M546+AA546&lt;0.000001,0,IF(AND(K546&gt;0,入力設定!$B$8="期間短縮型",AA546&lt;0.000001,F546&gt;M546*C546/12),MAX(1,MIN(E546-1,IF(C546=0,ROUNDUP(M546/F546,0),ROUNDUP(-LN(1-M546*(C546/12)/F546)/LN(1+C546/12),0)))),MAX(1,E546-1)))</f>
        <v>0</v>
      </c>
      <c r="O546" s="70">
        <f t="shared" ca="1" si="181"/>
        <v>0</v>
      </c>
      <c r="P546" s="70">
        <f t="shared" ca="1" si="195"/>
        <v>0</v>
      </c>
      <c r="Q546" s="70">
        <f ca="1">IF(OR(A546&gt;入力設定!$B$6*12,P546+AC546&lt;0.000001),0,IF(P546&lt;0.000001,Q545,IF(AE546=1,IF(C546=0,P546/MAX(1,入力設定!$B$6*12-A546+1),P546*(C546/12)/(1-(1+C546/12)^(-MAX(1,入力設定!$B$6*12-A546+1)))),Q545)))</f>
        <v>0</v>
      </c>
      <c r="R546" s="70">
        <f ca="1">IF(P546+AC546&lt;0.000001,0,IF(A546=入力設定!$B$6*12,P546+AB546+AC546,MIN(Q546,P546+AB546+AC546)))</f>
        <v>0</v>
      </c>
      <c r="S546" s="70">
        <f t="shared" ca="1" si="182"/>
        <v>0</v>
      </c>
      <c r="T546" s="70">
        <f t="shared" ca="1" si="183"/>
        <v>0</v>
      </c>
      <c r="U546" s="70">
        <f t="shared" ca="1" si="184"/>
        <v>0</v>
      </c>
      <c r="V546" s="70">
        <f t="shared" ca="1" si="185"/>
        <v>0</v>
      </c>
      <c r="W546" s="70">
        <f t="shared" ca="1" si="186"/>
        <v>0</v>
      </c>
      <c r="X546" s="70">
        <f t="shared" ca="1" si="187"/>
        <v>0</v>
      </c>
      <c r="Y546" s="71">
        <f t="shared" ca="1" si="188"/>
        <v>0</v>
      </c>
      <c r="Z546" s="71">
        <f t="shared" ca="1" si="196"/>
        <v>0</v>
      </c>
      <c r="AA546" s="71">
        <f t="shared" ca="1" si="189"/>
        <v>0</v>
      </c>
      <c r="AB546" s="71">
        <f t="shared" ca="1" si="190"/>
        <v>0</v>
      </c>
      <c r="AC546" s="71">
        <f t="shared" ca="1" si="197"/>
        <v>0</v>
      </c>
      <c r="AD546" s="71">
        <f t="shared" ca="1" si="191"/>
        <v>0</v>
      </c>
      <c r="AE546" s="72">
        <f t="shared" si="192"/>
        <v>1</v>
      </c>
      <c r="AF546" s="73">
        <f>IF(A546&gt;入力設定!$B$6*12,0,IF(AND(ISNUMBER(C546),C546&gt;=0,C546&lt;=1),0,1))</f>
        <v>0</v>
      </c>
    </row>
    <row r="547" spans="1:32" ht="21" customHeight="1">
      <c r="A547" s="68">
        <f>542</f>
        <v>542</v>
      </c>
      <c r="B547" s="69">
        <f>EDATE(入力設定!$B$7,A547-1)</f>
        <v>62793</v>
      </c>
      <c r="C547" s="80">
        <f>INDEX(入力設定!$C$15:$C$24,INT((A547-1)/60)+1)</f>
        <v>0.05</v>
      </c>
      <c r="D547" s="70">
        <f t="shared" ca="1" si="193"/>
        <v>0</v>
      </c>
      <c r="E547" s="70">
        <f t="shared" ca="1" si="194"/>
        <v>0</v>
      </c>
      <c r="F547" s="70">
        <f ca="1">IF(D547+Z547&lt;0.000001,0,IF(D547&lt;0.000001,F546,IF(OR(AE547=1,AND(K546&gt;0,入力設定!$B$8="返済額軽減型",入力設定!$B$11="翌月")),IF(C547=0,D547/MAX(1,E547),D547*(C547/12)/(1-(1+C547/12)^(-MAX(1,E547)))),F546)))</f>
        <v>0</v>
      </c>
      <c r="G547" s="70">
        <f t="shared" ca="1" si="176"/>
        <v>0</v>
      </c>
      <c r="H547" s="70">
        <f t="shared" ca="1" si="177"/>
        <v>0</v>
      </c>
      <c r="I547" s="70">
        <f t="shared" ca="1" si="178"/>
        <v>0</v>
      </c>
      <c r="J547" s="70">
        <f>SUMIFS(入力設定!$G$5:$G$24,入力設定!$F$5:$F$24,A547)</f>
        <v>0</v>
      </c>
      <c r="K547" s="70">
        <f t="shared" ca="1" si="179"/>
        <v>0</v>
      </c>
      <c r="L547" s="70">
        <f ca="1">IF(K547&gt;0,入力設定!$B$9,0)</f>
        <v>0</v>
      </c>
      <c r="M547" s="70">
        <f t="shared" ca="1" si="180"/>
        <v>0</v>
      </c>
      <c r="N547" s="70">
        <f ca="1">IF(M547+AA547&lt;0.000001,0,IF(AND(K547&gt;0,入力設定!$B$8="期間短縮型",AA547&lt;0.000001,F547&gt;M547*C547/12),MAX(1,MIN(E547-1,IF(C547=0,ROUNDUP(M547/F547,0),ROUNDUP(-LN(1-M547*(C547/12)/F547)/LN(1+C547/12),0)))),MAX(1,E547-1)))</f>
        <v>0</v>
      </c>
      <c r="O547" s="70">
        <f t="shared" ca="1" si="181"/>
        <v>0</v>
      </c>
      <c r="P547" s="70">
        <f t="shared" ca="1" si="195"/>
        <v>0</v>
      </c>
      <c r="Q547" s="70">
        <f ca="1">IF(OR(A547&gt;入力設定!$B$6*12,P547+AC547&lt;0.000001),0,IF(P547&lt;0.000001,Q546,IF(AE547=1,IF(C547=0,P547/MAX(1,入力設定!$B$6*12-A547+1),P547*(C547/12)/(1-(1+C547/12)^(-MAX(1,入力設定!$B$6*12-A547+1)))),Q546)))</f>
        <v>0</v>
      </c>
      <c r="R547" s="70">
        <f ca="1">IF(P547+AC547&lt;0.000001,0,IF(A547=入力設定!$B$6*12,P547+AB547+AC547,MIN(Q547,P547+AB547+AC547)))</f>
        <v>0</v>
      </c>
      <c r="S547" s="70">
        <f t="shared" ca="1" si="182"/>
        <v>0</v>
      </c>
      <c r="T547" s="70">
        <f t="shared" ca="1" si="183"/>
        <v>0</v>
      </c>
      <c r="U547" s="70">
        <f t="shared" ca="1" si="184"/>
        <v>0</v>
      </c>
      <c r="V547" s="70">
        <f t="shared" ca="1" si="185"/>
        <v>0</v>
      </c>
      <c r="W547" s="70">
        <f t="shared" ca="1" si="186"/>
        <v>0</v>
      </c>
      <c r="X547" s="70">
        <f t="shared" ca="1" si="187"/>
        <v>0</v>
      </c>
      <c r="Y547" s="71">
        <f t="shared" ca="1" si="188"/>
        <v>0</v>
      </c>
      <c r="Z547" s="71">
        <f t="shared" ca="1" si="196"/>
        <v>0</v>
      </c>
      <c r="AA547" s="71">
        <f t="shared" ca="1" si="189"/>
        <v>0</v>
      </c>
      <c r="AB547" s="71">
        <f t="shared" ca="1" si="190"/>
        <v>0</v>
      </c>
      <c r="AC547" s="71">
        <f t="shared" ca="1" si="197"/>
        <v>0</v>
      </c>
      <c r="AD547" s="71">
        <f t="shared" ca="1" si="191"/>
        <v>0</v>
      </c>
      <c r="AE547" s="72">
        <f t="shared" si="192"/>
        <v>0</v>
      </c>
      <c r="AF547" s="73">
        <f>IF(A547&gt;入力設定!$B$6*12,0,IF(AND(ISNUMBER(C547),C547&gt;=0,C547&lt;=1),0,1))</f>
        <v>0</v>
      </c>
    </row>
    <row r="548" spans="1:32" ht="21" customHeight="1">
      <c r="A548" s="68">
        <f>543</f>
        <v>543</v>
      </c>
      <c r="B548" s="69">
        <f>EDATE(入力設定!$B$7,A548-1)</f>
        <v>62824</v>
      </c>
      <c r="C548" s="80">
        <f>INDEX(入力設定!$C$15:$C$24,INT((A548-1)/60)+1)</f>
        <v>0.05</v>
      </c>
      <c r="D548" s="70">
        <f t="shared" ca="1" si="193"/>
        <v>0</v>
      </c>
      <c r="E548" s="70">
        <f t="shared" ca="1" si="194"/>
        <v>0</v>
      </c>
      <c r="F548" s="70">
        <f ca="1">IF(D548+Z548&lt;0.000001,0,IF(D548&lt;0.000001,F547,IF(OR(AE548=1,AND(K547&gt;0,入力設定!$B$8="返済額軽減型",入力設定!$B$11="翌月")),IF(C548=0,D548/MAX(1,E548),D548*(C548/12)/(1-(1+C548/12)^(-MAX(1,E548)))),F547)))</f>
        <v>0</v>
      </c>
      <c r="G548" s="70">
        <f t="shared" ca="1" si="176"/>
        <v>0</v>
      </c>
      <c r="H548" s="70">
        <f t="shared" ca="1" si="177"/>
        <v>0</v>
      </c>
      <c r="I548" s="70">
        <f t="shared" ca="1" si="178"/>
        <v>0</v>
      </c>
      <c r="J548" s="70">
        <f>SUMIFS(入力設定!$G$5:$G$24,入力設定!$F$5:$F$24,A548)</f>
        <v>0</v>
      </c>
      <c r="K548" s="70">
        <f t="shared" ca="1" si="179"/>
        <v>0</v>
      </c>
      <c r="L548" s="70">
        <f ca="1">IF(K548&gt;0,入力設定!$B$9,0)</f>
        <v>0</v>
      </c>
      <c r="M548" s="70">
        <f t="shared" ca="1" si="180"/>
        <v>0</v>
      </c>
      <c r="N548" s="70">
        <f ca="1">IF(M548+AA548&lt;0.000001,0,IF(AND(K548&gt;0,入力設定!$B$8="期間短縮型",AA548&lt;0.000001,F548&gt;M548*C548/12),MAX(1,MIN(E548-1,IF(C548=0,ROUNDUP(M548/F548,0),ROUNDUP(-LN(1-M548*(C548/12)/F548)/LN(1+C548/12),0)))),MAX(1,E548-1)))</f>
        <v>0</v>
      </c>
      <c r="O548" s="70">
        <f t="shared" ca="1" si="181"/>
        <v>0</v>
      </c>
      <c r="P548" s="70">
        <f t="shared" ca="1" si="195"/>
        <v>0</v>
      </c>
      <c r="Q548" s="70">
        <f ca="1">IF(OR(A548&gt;入力設定!$B$6*12,P548+AC548&lt;0.000001),0,IF(P548&lt;0.000001,Q547,IF(AE548=1,IF(C548=0,P548/MAX(1,入力設定!$B$6*12-A548+1),P548*(C548/12)/(1-(1+C548/12)^(-MAX(1,入力設定!$B$6*12-A548+1)))),Q547)))</f>
        <v>0</v>
      </c>
      <c r="R548" s="70">
        <f ca="1">IF(P548+AC548&lt;0.000001,0,IF(A548=入力設定!$B$6*12,P548+AB548+AC548,MIN(Q548,P548+AB548+AC548)))</f>
        <v>0</v>
      </c>
      <c r="S548" s="70">
        <f t="shared" ca="1" si="182"/>
        <v>0</v>
      </c>
      <c r="T548" s="70">
        <f t="shared" ca="1" si="183"/>
        <v>0</v>
      </c>
      <c r="U548" s="70">
        <f t="shared" ca="1" si="184"/>
        <v>0</v>
      </c>
      <c r="V548" s="70">
        <f t="shared" ca="1" si="185"/>
        <v>0</v>
      </c>
      <c r="W548" s="70">
        <f t="shared" ca="1" si="186"/>
        <v>0</v>
      </c>
      <c r="X548" s="70">
        <f t="shared" ca="1" si="187"/>
        <v>0</v>
      </c>
      <c r="Y548" s="71">
        <f t="shared" ca="1" si="188"/>
        <v>0</v>
      </c>
      <c r="Z548" s="71">
        <f t="shared" ca="1" si="196"/>
        <v>0</v>
      </c>
      <c r="AA548" s="71">
        <f t="shared" ca="1" si="189"/>
        <v>0</v>
      </c>
      <c r="AB548" s="71">
        <f t="shared" ca="1" si="190"/>
        <v>0</v>
      </c>
      <c r="AC548" s="71">
        <f t="shared" ca="1" si="197"/>
        <v>0</v>
      </c>
      <c r="AD548" s="71">
        <f t="shared" ca="1" si="191"/>
        <v>0</v>
      </c>
      <c r="AE548" s="72">
        <f t="shared" si="192"/>
        <v>0</v>
      </c>
      <c r="AF548" s="73">
        <f>IF(A548&gt;入力設定!$B$6*12,0,IF(AND(ISNUMBER(C548),C548&gt;=0,C548&lt;=1),0,1))</f>
        <v>0</v>
      </c>
    </row>
    <row r="549" spans="1:32" ht="21" customHeight="1">
      <c r="A549" s="68">
        <f>544</f>
        <v>544</v>
      </c>
      <c r="B549" s="69">
        <f>EDATE(入力設定!$B$7,A549-1)</f>
        <v>62855</v>
      </c>
      <c r="C549" s="80">
        <f>INDEX(入力設定!$C$15:$C$24,INT((A549-1)/60)+1)</f>
        <v>0.05</v>
      </c>
      <c r="D549" s="70">
        <f t="shared" ca="1" si="193"/>
        <v>0</v>
      </c>
      <c r="E549" s="70">
        <f t="shared" ca="1" si="194"/>
        <v>0</v>
      </c>
      <c r="F549" s="70">
        <f ca="1">IF(D549+Z549&lt;0.000001,0,IF(D549&lt;0.000001,F548,IF(OR(AE549=1,AND(K548&gt;0,入力設定!$B$8="返済額軽減型",入力設定!$B$11="翌月")),IF(C549=0,D549/MAX(1,E549),D549*(C549/12)/(1-(1+C549/12)^(-MAX(1,E549)))),F548)))</f>
        <v>0</v>
      </c>
      <c r="G549" s="70">
        <f t="shared" ca="1" si="176"/>
        <v>0</v>
      </c>
      <c r="H549" s="70">
        <f t="shared" ca="1" si="177"/>
        <v>0</v>
      </c>
      <c r="I549" s="70">
        <f t="shared" ca="1" si="178"/>
        <v>0</v>
      </c>
      <c r="J549" s="70">
        <f>SUMIFS(入力設定!$G$5:$G$24,入力設定!$F$5:$F$24,A549)</f>
        <v>0</v>
      </c>
      <c r="K549" s="70">
        <f t="shared" ca="1" si="179"/>
        <v>0</v>
      </c>
      <c r="L549" s="70">
        <f ca="1">IF(K549&gt;0,入力設定!$B$9,0)</f>
        <v>0</v>
      </c>
      <c r="M549" s="70">
        <f t="shared" ca="1" si="180"/>
        <v>0</v>
      </c>
      <c r="N549" s="70">
        <f ca="1">IF(M549+AA549&lt;0.000001,0,IF(AND(K549&gt;0,入力設定!$B$8="期間短縮型",AA549&lt;0.000001,F549&gt;M549*C549/12),MAX(1,MIN(E549-1,IF(C549=0,ROUNDUP(M549/F549,0),ROUNDUP(-LN(1-M549*(C549/12)/F549)/LN(1+C549/12),0)))),MAX(1,E549-1)))</f>
        <v>0</v>
      </c>
      <c r="O549" s="70">
        <f t="shared" ca="1" si="181"/>
        <v>0</v>
      </c>
      <c r="P549" s="70">
        <f t="shared" ca="1" si="195"/>
        <v>0</v>
      </c>
      <c r="Q549" s="70">
        <f ca="1">IF(OR(A549&gt;入力設定!$B$6*12,P549+AC549&lt;0.000001),0,IF(P549&lt;0.000001,Q548,IF(AE549=1,IF(C549=0,P549/MAX(1,入力設定!$B$6*12-A549+1),P549*(C549/12)/(1-(1+C549/12)^(-MAX(1,入力設定!$B$6*12-A549+1)))),Q548)))</f>
        <v>0</v>
      </c>
      <c r="R549" s="70">
        <f ca="1">IF(P549+AC549&lt;0.000001,0,IF(A549=入力設定!$B$6*12,P549+AB549+AC549,MIN(Q549,P549+AB549+AC549)))</f>
        <v>0</v>
      </c>
      <c r="S549" s="70">
        <f t="shared" ca="1" si="182"/>
        <v>0</v>
      </c>
      <c r="T549" s="70">
        <f t="shared" ca="1" si="183"/>
        <v>0</v>
      </c>
      <c r="U549" s="70">
        <f t="shared" ca="1" si="184"/>
        <v>0</v>
      </c>
      <c r="V549" s="70">
        <f t="shared" ca="1" si="185"/>
        <v>0</v>
      </c>
      <c r="W549" s="70">
        <f t="shared" ca="1" si="186"/>
        <v>0</v>
      </c>
      <c r="X549" s="70">
        <f t="shared" ca="1" si="187"/>
        <v>0</v>
      </c>
      <c r="Y549" s="71">
        <f t="shared" ca="1" si="188"/>
        <v>0</v>
      </c>
      <c r="Z549" s="71">
        <f t="shared" ca="1" si="196"/>
        <v>0</v>
      </c>
      <c r="AA549" s="71">
        <f t="shared" ca="1" si="189"/>
        <v>0</v>
      </c>
      <c r="AB549" s="71">
        <f t="shared" ca="1" si="190"/>
        <v>0</v>
      </c>
      <c r="AC549" s="71">
        <f t="shared" ca="1" si="197"/>
        <v>0</v>
      </c>
      <c r="AD549" s="71">
        <f t="shared" ca="1" si="191"/>
        <v>0</v>
      </c>
      <c r="AE549" s="72">
        <f t="shared" si="192"/>
        <v>0</v>
      </c>
      <c r="AF549" s="73">
        <f>IF(A549&gt;入力設定!$B$6*12,0,IF(AND(ISNUMBER(C549),C549&gt;=0,C549&lt;=1),0,1))</f>
        <v>0</v>
      </c>
    </row>
    <row r="550" spans="1:32" ht="21" customHeight="1">
      <c r="A550" s="68">
        <f>545</f>
        <v>545</v>
      </c>
      <c r="B550" s="69">
        <f>EDATE(入力設定!$B$7,A550-1)</f>
        <v>62884</v>
      </c>
      <c r="C550" s="80">
        <f>INDEX(入力設定!$C$15:$C$24,INT((A550-1)/60)+1)</f>
        <v>0.05</v>
      </c>
      <c r="D550" s="70">
        <f t="shared" ca="1" si="193"/>
        <v>0</v>
      </c>
      <c r="E550" s="70">
        <f t="shared" ca="1" si="194"/>
        <v>0</v>
      </c>
      <c r="F550" s="70">
        <f ca="1">IF(D550+Z550&lt;0.000001,0,IF(D550&lt;0.000001,F549,IF(OR(AE550=1,AND(K549&gt;0,入力設定!$B$8="返済額軽減型",入力設定!$B$11="翌月")),IF(C550=0,D550/MAX(1,E550),D550*(C550/12)/(1-(1+C550/12)^(-MAX(1,E550)))),F549)))</f>
        <v>0</v>
      </c>
      <c r="G550" s="70">
        <f t="shared" ca="1" si="176"/>
        <v>0</v>
      </c>
      <c r="H550" s="70">
        <f t="shared" ca="1" si="177"/>
        <v>0</v>
      </c>
      <c r="I550" s="70">
        <f t="shared" ca="1" si="178"/>
        <v>0</v>
      </c>
      <c r="J550" s="70">
        <f>SUMIFS(入力設定!$G$5:$G$24,入力設定!$F$5:$F$24,A550)</f>
        <v>0</v>
      </c>
      <c r="K550" s="70">
        <f t="shared" ca="1" si="179"/>
        <v>0</v>
      </c>
      <c r="L550" s="70">
        <f ca="1">IF(K550&gt;0,入力設定!$B$9,0)</f>
        <v>0</v>
      </c>
      <c r="M550" s="70">
        <f t="shared" ca="1" si="180"/>
        <v>0</v>
      </c>
      <c r="N550" s="70">
        <f ca="1">IF(M550+AA550&lt;0.000001,0,IF(AND(K550&gt;0,入力設定!$B$8="期間短縮型",AA550&lt;0.000001,F550&gt;M550*C550/12),MAX(1,MIN(E550-1,IF(C550=0,ROUNDUP(M550/F550,0),ROUNDUP(-LN(1-M550*(C550/12)/F550)/LN(1+C550/12),0)))),MAX(1,E550-1)))</f>
        <v>0</v>
      </c>
      <c r="O550" s="70">
        <f t="shared" ca="1" si="181"/>
        <v>0</v>
      </c>
      <c r="P550" s="70">
        <f t="shared" ca="1" si="195"/>
        <v>0</v>
      </c>
      <c r="Q550" s="70">
        <f ca="1">IF(OR(A550&gt;入力設定!$B$6*12,P550+AC550&lt;0.000001),0,IF(P550&lt;0.000001,Q549,IF(AE550=1,IF(C550=0,P550/MAX(1,入力設定!$B$6*12-A550+1),P550*(C550/12)/(1-(1+C550/12)^(-MAX(1,入力設定!$B$6*12-A550+1)))),Q549)))</f>
        <v>0</v>
      </c>
      <c r="R550" s="70">
        <f ca="1">IF(P550+AC550&lt;0.000001,0,IF(A550=入力設定!$B$6*12,P550+AB550+AC550,MIN(Q550,P550+AB550+AC550)))</f>
        <v>0</v>
      </c>
      <c r="S550" s="70">
        <f t="shared" ca="1" si="182"/>
        <v>0</v>
      </c>
      <c r="T550" s="70">
        <f t="shared" ca="1" si="183"/>
        <v>0</v>
      </c>
      <c r="U550" s="70">
        <f t="shared" ca="1" si="184"/>
        <v>0</v>
      </c>
      <c r="V550" s="70">
        <f t="shared" ca="1" si="185"/>
        <v>0</v>
      </c>
      <c r="W550" s="70">
        <f t="shared" ca="1" si="186"/>
        <v>0</v>
      </c>
      <c r="X550" s="70">
        <f t="shared" ca="1" si="187"/>
        <v>0</v>
      </c>
      <c r="Y550" s="71">
        <f t="shared" ca="1" si="188"/>
        <v>0</v>
      </c>
      <c r="Z550" s="71">
        <f t="shared" ca="1" si="196"/>
        <v>0</v>
      </c>
      <c r="AA550" s="71">
        <f t="shared" ca="1" si="189"/>
        <v>0</v>
      </c>
      <c r="AB550" s="71">
        <f t="shared" ca="1" si="190"/>
        <v>0</v>
      </c>
      <c r="AC550" s="71">
        <f t="shared" ca="1" si="197"/>
        <v>0</v>
      </c>
      <c r="AD550" s="71">
        <f t="shared" ca="1" si="191"/>
        <v>0</v>
      </c>
      <c r="AE550" s="72">
        <f t="shared" si="192"/>
        <v>0</v>
      </c>
      <c r="AF550" s="73">
        <f>IF(A550&gt;入力設定!$B$6*12,0,IF(AND(ISNUMBER(C550),C550&gt;=0,C550&lt;=1),0,1))</f>
        <v>0</v>
      </c>
    </row>
    <row r="551" spans="1:32" ht="21" customHeight="1">
      <c r="A551" s="68">
        <f>546</f>
        <v>546</v>
      </c>
      <c r="B551" s="69">
        <f>EDATE(入力設定!$B$7,A551-1)</f>
        <v>62915</v>
      </c>
      <c r="C551" s="80">
        <f>INDEX(入力設定!$C$15:$C$24,INT((A551-1)/60)+1)</f>
        <v>0.05</v>
      </c>
      <c r="D551" s="70">
        <f t="shared" ca="1" si="193"/>
        <v>0</v>
      </c>
      <c r="E551" s="70">
        <f t="shared" ca="1" si="194"/>
        <v>0</v>
      </c>
      <c r="F551" s="70">
        <f ca="1">IF(D551+Z551&lt;0.000001,0,IF(D551&lt;0.000001,F550,IF(OR(AE551=1,AND(K550&gt;0,入力設定!$B$8="返済額軽減型",入力設定!$B$11="翌月")),IF(C551=0,D551/MAX(1,E551),D551*(C551/12)/(1-(1+C551/12)^(-MAX(1,E551)))),F550)))</f>
        <v>0</v>
      </c>
      <c r="G551" s="70">
        <f t="shared" ca="1" si="176"/>
        <v>0</v>
      </c>
      <c r="H551" s="70">
        <f t="shared" ca="1" si="177"/>
        <v>0</v>
      </c>
      <c r="I551" s="70">
        <f t="shared" ca="1" si="178"/>
        <v>0</v>
      </c>
      <c r="J551" s="70">
        <f>SUMIFS(入力設定!$G$5:$G$24,入力設定!$F$5:$F$24,A551)</f>
        <v>0</v>
      </c>
      <c r="K551" s="70">
        <f t="shared" ca="1" si="179"/>
        <v>0</v>
      </c>
      <c r="L551" s="70">
        <f ca="1">IF(K551&gt;0,入力設定!$B$9,0)</f>
        <v>0</v>
      </c>
      <c r="M551" s="70">
        <f t="shared" ca="1" si="180"/>
        <v>0</v>
      </c>
      <c r="N551" s="70">
        <f ca="1">IF(M551+AA551&lt;0.000001,0,IF(AND(K551&gt;0,入力設定!$B$8="期間短縮型",AA551&lt;0.000001,F551&gt;M551*C551/12),MAX(1,MIN(E551-1,IF(C551=0,ROUNDUP(M551/F551,0),ROUNDUP(-LN(1-M551*(C551/12)/F551)/LN(1+C551/12),0)))),MAX(1,E551-1)))</f>
        <v>0</v>
      </c>
      <c r="O551" s="70">
        <f t="shared" ca="1" si="181"/>
        <v>0</v>
      </c>
      <c r="P551" s="70">
        <f t="shared" ca="1" si="195"/>
        <v>0</v>
      </c>
      <c r="Q551" s="70">
        <f ca="1">IF(OR(A551&gt;入力設定!$B$6*12,P551+AC551&lt;0.000001),0,IF(P551&lt;0.000001,Q550,IF(AE551=1,IF(C551=0,P551/MAX(1,入力設定!$B$6*12-A551+1),P551*(C551/12)/(1-(1+C551/12)^(-MAX(1,入力設定!$B$6*12-A551+1)))),Q550)))</f>
        <v>0</v>
      </c>
      <c r="R551" s="70">
        <f ca="1">IF(P551+AC551&lt;0.000001,0,IF(A551=入力設定!$B$6*12,P551+AB551+AC551,MIN(Q551,P551+AB551+AC551)))</f>
        <v>0</v>
      </c>
      <c r="S551" s="70">
        <f t="shared" ca="1" si="182"/>
        <v>0</v>
      </c>
      <c r="T551" s="70">
        <f t="shared" ca="1" si="183"/>
        <v>0</v>
      </c>
      <c r="U551" s="70">
        <f t="shared" ca="1" si="184"/>
        <v>0</v>
      </c>
      <c r="V551" s="70">
        <f t="shared" ca="1" si="185"/>
        <v>0</v>
      </c>
      <c r="W551" s="70">
        <f t="shared" ca="1" si="186"/>
        <v>0</v>
      </c>
      <c r="X551" s="70">
        <f t="shared" ca="1" si="187"/>
        <v>0</v>
      </c>
      <c r="Y551" s="71">
        <f t="shared" ca="1" si="188"/>
        <v>0</v>
      </c>
      <c r="Z551" s="71">
        <f t="shared" ca="1" si="196"/>
        <v>0</v>
      </c>
      <c r="AA551" s="71">
        <f t="shared" ca="1" si="189"/>
        <v>0</v>
      </c>
      <c r="AB551" s="71">
        <f t="shared" ca="1" si="190"/>
        <v>0</v>
      </c>
      <c r="AC551" s="71">
        <f t="shared" ca="1" si="197"/>
        <v>0</v>
      </c>
      <c r="AD551" s="71">
        <f t="shared" ca="1" si="191"/>
        <v>0</v>
      </c>
      <c r="AE551" s="72">
        <f t="shared" si="192"/>
        <v>0</v>
      </c>
      <c r="AF551" s="73">
        <f>IF(A551&gt;入力設定!$B$6*12,0,IF(AND(ISNUMBER(C551),C551&gt;=0,C551&lt;=1),0,1))</f>
        <v>0</v>
      </c>
    </row>
    <row r="552" spans="1:32" ht="21" customHeight="1">
      <c r="A552" s="68">
        <f>547</f>
        <v>547</v>
      </c>
      <c r="B552" s="69">
        <f>EDATE(入力設定!$B$7,A552-1)</f>
        <v>62945</v>
      </c>
      <c r="C552" s="80">
        <f>INDEX(入力設定!$C$15:$C$24,INT((A552-1)/60)+1)</f>
        <v>0.05</v>
      </c>
      <c r="D552" s="70">
        <f t="shared" ca="1" si="193"/>
        <v>0</v>
      </c>
      <c r="E552" s="70">
        <f t="shared" ca="1" si="194"/>
        <v>0</v>
      </c>
      <c r="F552" s="70">
        <f ca="1">IF(D552+Z552&lt;0.000001,0,IF(D552&lt;0.000001,F551,IF(OR(AE552=1,AND(K551&gt;0,入力設定!$B$8="返済額軽減型",入力設定!$B$11="翌月")),IF(C552=0,D552/MAX(1,E552),D552*(C552/12)/(1-(1+C552/12)^(-MAX(1,E552)))),F551)))</f>
        <v>0</v>
      </c>
      <c r="G552" s="70">
        <f t="shared" ca="1" si="176"/>
        <v>0</v>
      </c>
      <c r="H552" s="70">
        <f t="shared" ca="1" si="177"/>
        <v>0</v>
      </c>
      <c r="I552" s="70">
        <f t="shared" ca="1" si="178"/>
        <v>0</v>
      </c>
      <c r="J552" s="70">
        <f>SUMIFS(入力設定!$G$5:$G$24,入力設定!$F$5:$F$24,A552)</f>
        <v>0</v>
      </c>
      <c r="K552" s="70">
        <f t="shared" ca="1" si="179"/>
        <v>0</v>
      </c>
      <c r="L552" s="70">
        <f ca="1">IF(K552&gt;0,入力設定!$B$9,0)</f>
        <v>0</v>
      </c>
      <c r="M552" s="70">
        <f t="shared" ca="1" si="180"/>
        <v>0</v>
      </c>
      <c r="N552" s="70">
        <f ca="1">IF(M552+AA552&lt;0.000001,0,IF(AND(K552&gt;0,入力設定!$B$8="期間短縮型",AA552&lt;0.000001,F552&gt;M552*C552/12),MAX(1,MIN(E552-1,IF(C552=0,ROUNDUP(M552/F552,0),ROUNDUP(-LN(1-M552*(C552/12)/F552)/LN(1+C552/12),0)))),MAX(1,E552-1)))</f>
        <v>0</v>
      </c>
      <c r="O552" s="70">
        <f t="shared" ca="1" si="181"/>
        <v>0</v>
      </c>
      <c r="P552" s="70">
        <f t="shared" ca="1" si="195"/>
        <v>0</v>
      </c>
      <c r="Q552" s="70">
        <f ca="1">IF(OR(A552&gt;入力設定!$B$6*12,P552+AC552&lt;0.000001),0,IF(P552&lt;0.000001,Q551,IF(AE552=1,IF(C552=0,P552/MAX(1,入力設定!$B$6*12-A552+1),P552*(C552/12)/(1-(1+C552/12)^(-MAX(1,入力設定!$B$6*12-A552+1)))),Q551)))</f>
        <v>0</v>
      </c>
      <c r="R552" s="70">
        <f ca="1">IF(P552+AC552&lt;0.000001,0,IF(A552=入力設定!$B$6*12,P552+AB552+AC552,MIN(Q552,P552+AB552+AC552)))</f>
        <v>0</v>
      </c>
      <c r="S552" s="70">
        <f t="shared" ca="1" si="182"/>
        <v>0</v>
      </c>
      <c r="T552" s="70">
        <f t="shared" ca="1" si="183"/>
        <v>0</v>
      </c>
      <c r="U552" s="70">
        <f t="shared" ca="1" si="184"/>
        <v>0</v>
      </c>
      <c r="V552" s="70">
        <f t="shared" ca="1" si="185"/>
        <v>0</v>
      </c>
      <c r="W552" s="70">
        <f t="shared" ca="1" si="186"/>
        <v>0</v>
      </c>
      <c r="X552" s="70">
        <f t="shared" ca="1" si="187"/>
        <v>0</v>
      </c>
      <c r="Y552" s="71">
        <f t="shared" ca="1" si="188"/>
        <v>0</v>
      </c>
      <c r="Z552" s="71">
        <f t="shared" ca="1" si="196"/>
        <v>0</v>
      </c>
      <c r="AA552" s="71">
        <f t="shared" ca="1" si="189"/>
        <v>0</v>
      </c>
      <c r="AB552" s="71">
        <f t="shared" ca="1" si="190"/>
        <v>0</v>
      </c>
      <c r="AC552" s="71">
        <f t="shared" ca="1" si="197"/>
        <v>0</v>
      </c>
      <c r="AD552" s="71">
        <f t="shared" ca="1" si="191"/>
        <v>0</v>
      </c>
      <c r="AE552" s="72">
        <f t="shared" si="192"/>
        <v>0</v>
      </c>
      <c r="AF552" s="73">
        <f>IF(A552&gt;入力設定!$B$6*12,0,IF(AND(ISNUMBER(C552),C552&gt;=0,C552&lt;=1),0,1))</f>
        <v>0</v>
      </c>
    </row>
    <row r="553" spans="1:32" ht="21" customHeight="1">
      <c r="A553" s="68">
        <f>548</f>
        <v>548</v>
      </c>
      <c r="B553" s="69">
        <f>EDATE(入力設定!$B$7,A553-1)</f>
        <v>62976</v>
      </c>
      <c r="C553" s="80">
        <f>INDEX(入力設定!$C$15:$C$24,INT((A553-1)/60)+1)</f>
        <v>0.05</v>
      </c>
      <c r="D553" s="70">
        <f t="shared" ca="1" si="193"/>
        <v>0</v>
      </c>
      <c r="E553" s="70">
        <f t="shared" ca="1" si="194"/>
        <v>0</v>
      </c>
      <c r="F553" s="70">
        <f ca="1">IF(D553+Z553&lt;0.000001,0,IF(D553&lt;0.000001,F552,IF(OR(AE553=1,AND(K552&gt;0,入力設定!$B$8="返済額軽減型",入力設定!$B$11="翌月")),IF(C553=0,D553/MAX(1,E553),D553*(C553/12)/(1-(1+C553/12)^(-MAX(1,E553)))),F552)))</f>
        <v>0</v>
      </c>
      <c r="G553" s="70">
        <f t="shared" ca="1" si="176"/>
        <v>0</v>
      </c>
      <c r="H553" s="70">
        <f t="shared" ca="1" si="177"/>
        <v>0</v>
      </c>
      <c r="I553" s="70">
        <f t="shared" ca="1" si="178"/>
        <v>0</v>
      </c>
      <c r="J553" s="70">
        <f>SUMIFS(入力設定!$G$5:$G$24,入力設定!$F$5:$F$24,A553)</f>
        <v>0</v>
      </c>
      <c r="K553" s="70">
        <f t="shared" ca="1" si="179"/>
        <v>0</v>
      </c>
      <c r="L553" s="70">
        <f ca="1">IF(K553&gt;0,入力設定!$B$9,0)</f>
        <v>0</v>
      </c>
      <c r="M553" s="70">
        <f t="shared" ca="1" si="180"/>
        <v>0</v>
      </c>
      <c r="N553" s="70">
        <f ca="1">IF(M553+AA553&lt;0.000001,0,IF(AND(K553&gt;0,入力設定!$B$8="期間短縮型",AA553&lt;0.000001,F553&gt;M553*C553/12),MAX(1,MIN(E553-1,IF(C553=0,ROUNDUP(M553/F553,0),ROUNDUP(-LN(1-M553*(C553/12)/F553)/LN(1+C553/12),0)))),MAX(1,E553-1)))</f>
        <v>0</v>
      </c>
      <c r="O553" s="70">
        <f t="shared" ca="1" si="181"/>
        <v>0</v>
      </c>
      <c r="P553" s="70">
        <f t="shared" ca="1" si="195"/>
        <v>0</v>
      </c>
      <c r="Q553" s="70">
        <f ca="1">IF(OR(A553&gt;入力設定!$B$6*12,P553+AC553&lt;0.000001),0,IF(P553&lt;0.000001,Q552,IF(AE553=1,IF(C553=0,P553/MAX(1,入力設定!$B$6*12-A553+1),P553*(C553/12)/(1-(1+C553/12)^(-MAX(1,入力設定!$B$6*12-A553+1)))),Q552)))</f>
        <v>0</v>
      </c>
      <c r="R553" s="70">
        <f ca="1">IF(P553+AC553&lt;0.000001,0,IF(A553=入力設定!$B$6*12,P553+AB553+AC553,MIN(Q553,P553+AB553+AC553)))</f>
        <v>0</v>
      </c>
      <c r="S553" s="70">
        <f t="shared" ca="1" si="182"/>
        <v>0</v>
      </c>
      <c r="T553" s="70">
        <f t="shared" ca="1" si="183"/>
        <v>0</v>
      </c>
      <c r="U553" s="70">
        <f t="shared" ca="1" si="184"/>
        <v>0</v>
      </c>
      <c r="V553" s="70">
        <f t="shared" ca="1" si="185"/>
        <v>0</v>
      </c>
      <c r="W553" s="70">
        <f t="shared" ca="1" si="186"/>
        <v>0</v>
      </c>
      <c r="X553" s="70">
        <f t="shared" ca="1" si="187"/>
        <v>0</v>
      </c>
      <c r="Y553" s="71">
        <f t="shared" ca="1" si="188"/>
        <v>0</v>
      </c>
      <c r="Z553" s="71">
        <f t="shared" ca="1" si="196"/>
        <v>0</v>
      </c>
      <c r="AA553" s="71">
        <f t="shared" ca="1" si="189"/>
        <v>0</v>
      </c>
      <c r="AB553" s="71">
        <f t="shared" ca="1" si="190"/>
        <v>0</v>
      </c>
      <c r="AC553" s="71">
        <f t="shared" ca="1" si="197"/>
        <v>0</v>
      </c>
      <c r="AD553" s="71">
        <f t="shared" ca="1" si="191"/>
        <v>0</v>
      </c>
      <c r="AE553" s="72">
        <f t="shared" si="192"/>
        <v>0</v>
      </c>
      <c r="AF553" s="73">
        <f>IF(A553&gt;入力設定!$B$6*12,0,IF(AND(ISNUMBER(C553),C553&gt;=0,C553&lt;=1),0,1))</f>
        <v>0</v>
      </c>
    </row>
    <row r="554" spans="1:32" ht="21" customHeight="1">
      <c r="A554" s="68">
        <f>549</f>
        <v>549</v>
      </c>
      <c r="B554" s="69">
        <f>EDATE(入力設定!$B$7,A554-1)</f>
        <v>63006</v>
      </c>
      <c r="C554" s="80">
        <f>INDEX(入力設定!$C$15:$C$24,INT((A554-1)/60)+1)</f>
        <v>0.05</v>
      </c>
      <c r="D554" s="70">
        <f t="shared" ca="1" si="193"/>
        <v>0</v>
      </c>
      <c r="E554" s="70">
        <f t="shared" ca="1" si="194"/>
        <v>0</v>
      </c>
      <c r="F554" s="70">
        <f ca="1">IF(D554+Z554&lt;0.000001,0,IF(D554&lt;0.000001,F553,IF(OR(AE554=1,AND(K553&gt;0,入力設定!$B$8="返済額軽減型",入力設定!$B$11="翌月")),IF(C554=0,D554/MAX(1,E554),D554*(C554/12)/(1-(1+C554/12)^(-MAX(1,E554)))),F553)))</f>
        <v>0</v>
      </c>
      <c r="G554" s="70">
        <f t="shared" ca="1" si="176"/>
        <v>0</v>
      </c>
      <c r="H554" s="70">
        <f t="shared" ca="1" si="177"/>
        <v>0</v>
      </c>
      <c r="I554" s="70">
        <f t="shared" ca="1" si="178"/>
        <v>0</v>
      </c>
      <c r="J554" s="70">
        <f>SUMIFS(入力設定!$G$5:$G$24,入力設定!$F$5:$F$24,A554)</f>
        <v>0</v>
      </c>
      <c r="K554" s="70">
        <f t="shared" ca="1" si="179"/>
        <v>0</v>
      </c>
      <c r="L554" s="70">
        <f ca="1">IF(K554&gt;0,入力設定!$B$9,0)</f>
        <v>0</v>
      </c>
      <c r="M554" s="70">
        <f t="shared" ca="1" si="180"/>
        <v>0</v>
      </c>
      <c r="N554" s="70">
        <f ca="1">IF(M554+AA554&lt;0.000001,0,IF(AND(K554&gt;0,入力設定!$B$8="期間短縮型",AA554&lt;0.000001,F554&gt;M554*C554/12),MAX(1,MIN(E554-1,IF(C554=0,ROUNDUP(M554/F554,0),ROUNDUP(-LN(1-M554*(C554/12)/F554)/LN(1+C554/12),0)))),MAX(1,E554-1)))</f>
        <v>0</v>
      </c>
      <c r="O554" s="70">
        <f t="shared" ca="1" si="181"/>
        <v>0</v>
      </c>
      <c r="P554" s="70">
        <f t="shared" ca="1" si="195"/>
        <v>0</v>
      </c>
      <c r="Q554" s="70">
        <f ca="1">IF(OR(A554&gt;入力設定!$B$6*12,P554+AC554&lt;0.000001),0,IF(P554&lt;0.000001,Q553,IF(AE554=1,IF(C554=0,P554/MAX(1,入力設定!$B$6*12-A554+1),P554*(C554/12)/(1-(1+C554/12)^(-MAX(1,入力設定!$B$6*12-A554+1)))),Q553)))</f>
        <v>0</v>
      </c>
      <c r="R554" s="70">
        <f ca="1">IF(P554+AC554&lt;0.000001,0,IF(A554=入力設定!$B$6*12,P554+AB554+AC554,MIN(Q554,P554+AB554+AC554)))</f>
        <v>0</v>
      </c>
      <c r="S554" s="70">
        <f t="shared" ca="1" si="182"/>
        <v>0</v>
      </c>
      <c r="T554" s="70">
        <f t="shared" ca="1" si="183"/>
        <v>0</v>
      </c>
      <c r="U554" s="70">
        <f t="shared" ca="1" si="184"/>
        <v>0</v>
      </c>
      <c r="V554" s="70">
        <f t="shared" ca="1" si="185"/>
        <v>0</v>
      </c>
      <c r="W554" s="70">
        <f t="shared" ca="1" si="186"/>
        <v>0</v>
      </c>
      <c r="X554" s="70">
        <f t="shared" ca="1" si="187"/>
        <v>0</v>
      </c>
      <c r="Y554" s="71">
        <f t="shared" ca="1" si="188"/>
        <v>0</v>
      </c>
      <c r="Z554" s="71">
        <f t="shared" ca="1" si="196"/>
        <v>0</v>
      </c>
      <c r="AA554" s="71">
        <f t="shared" ca="1" si="189"/>
        <v>0</v>
      </c>
      <c r="AB554" s="71">
        <f t="shared" ca="1" si="190"/>
        <v>0</v>
      </c>
      <c r="AC554" s="71">
        <f t="shared" ca="1" si="197"/>
        <v>0</v>
      </c>
      <c r="AD554" s="71">
        <f t="shared" ca="1" si="191"/>
        <v>0</v>
      </c>
      <c r="AE554" s="72">
        <f t="shared" si="192"/>
        <v>0</v>
      </c>
      <c r="AF554" s="73">
        <f>IF(A554&gt;入力設定!$B$6*12,0,IF(AND(ISNUMBER(C554),C554&gt;=0,C554&lt;=1),0,1))</f>
        <v>0</v>
      </c>
    </row>
    <row r="555" spans="1:32" ht="21" customHeight="1">
      <c r="A555" s="68">
        <f>550</f>
        <v>550</v>
      </c>
      <c r="B555" s="69">
        <f>EDATE(入力設定!$B$7,A555-1)</f>
        <v>63037</v>
      </c>
      <c r="C555" s="80">
        <f>INDEX(入力設定!$C$15:$C$24,INT((A555-1)/60)+1)</f>
        <v>0.05</v>
      </c>
      <c r="D555" s="70">
        <f t="shared" ca="1" si="193"/>
        <v>0</v>
      </c>
      <c r="E555" s="70">
        <f t="shared" ca="1" si="194"/>
        <v>0</v>
      </c>
      <c r="F555" s="70">
        <f ca="1">IF(D555+Z555&lt;0.000001,0,IF(D555&lt;0.000001,F554,IF(OR(AE555=1,AND(K554&gt;0,入力設定!$B$8="返済額軽減型",入力設定!$B$11="翌月")),IF(C555=0,D555/MAX(1,E555),D555*(C555/12)/(1-(1+C555/12)^(-MAX(1,E555)))),F554)))</f>
        <v>0</v>
      </c>
      <c r="G555" s="70">
        <f t="shared" ca="1" si="176"/>
        <v>0</v>
      </c>
      <c r="H555" s="70">
        <f t="shared" ca="1" si="177"/>
        <v>0</v>
      </c>
      <c r="I555" s="70">
        <f t="shared" ca="1" si="178"/>
        <v>0</v>
      </c>
      <c r="J555" s="70">
        <f>SUMIFS(入力設定!$G$5:$G$24,入力設定!$F$5:$F$24,A555)</f>
        <v>0</v>
      </c>
      <c r="K555" s="70">
        <f t="shared" ca="1" si="179"/>
        <v>0</v>
      </c>
      <c r="L555" s="70">
        <f ca="1">IF(K555&gt;0,入力設定!$B$9,0)</f>
        <v>0</v>
      </c>
      <c r="M555" s="70">
        <f t="shared" ca="1" si="180"/>
        <v>0</v>
      </c>
      <c r="N555" s="70">
        <f ca="1">IF(M555+AA555&lt;0.000001,0,IF(AND(K555&gt;0,入力設定!$B$8="期間短縮型",AA555&lt;0.000001,F555&gt;M555*C555/12),MAX(1,MIN(E555-1,IF(C555=0,ROUNDUP(M555/F555,0),ROUNDUP(-LN(1-M555*(C555/12)/F555)/LN(1+C555/12),0)))),MAX(1,E555-1)))</f>
        <v>0</v>
      </c>
      <c r="O555" s="70">
        <f t="shared" ca="1" si="181"/>
        <v>0</v>
      </c>
      <c r="P555" s="70">
        <f t="shared" ca="1" si="195"/>
        <v>0</v>
      </c>
      <c r="Q555" s="70">
        <f ca="1">IF(OR(A555&gt;入力設定!$B$6*12,P555+AC555&lt;0.000001),0,IF(P555&lt;0.000001,Q554,IF(AE555=1,IF(C555=0,P555/MAX(1,入力設定!$B$6*12-A555+1),P555*(C555/12)/(1-(1+C555/12)^(-MAX(1,入力設定!$B$6*12-A555+1)))),Q554)))</f>
        <v>0</v>
      </c>
      <c r="R555" s="70">
        <f ca="1">IF(P555+AC555&lt;0.000001,0,IF(A555=入力設定!$B$6*12,P555+AB555+AC555,MIN(Q555,P555+AB555+AC555)))</f>
        <v>0</v>
      </c>
      <c r="S555" s="70">
        <f t="shared" ca="1" si="182"/>
        <v>0</v>
      </c>
      <c r="T555" s="70">
        <f t="shared" ca="1" si="183"/>
        <v>0</v>
      </c>
      <c r="U555" s="70">
        <f t="shared" ca="1" si="184"/>
        <v>0</v>
      </c>
      <c r="V555" s="70">
        <f t="shared" ca="1" si="185"/>
        <v>0</v>
      </c>
      <c r="W555" s="70">
        <f t="shared" ca="1" si="186"/>
        <v>0</v>
      </c>
      <c r="X555" s="70">
        <f t="shared" ca="1" si="187"/>
        <v>0</v>
      </c>
      <c r="Y555" s="71">
        <f t="shared" ca="1" si="188"/>
        <v>0</v>
      </c>
      <c r="Z555" s="71">
        <f t="shared" ca="1" si="196"/>
        <v>0</v>
      </c>
      <c r="AA555" s="71">
        <f t="shared" ca="1" si="189"/>
        <v>0</v>
      </c>
      <c r="AB555" s="71">
        <f t="shared" ca="1" si="190"/>
        <v>0</v>
      </c>
      <c r="AC555" s="71">
        <f t="shared" ca="1" si="197"/>
        <v>0</v>
      </c>
      <c r="AD555" s="71">
        <f t="shared" ca="1" si="191"/>
        <v>0</v>
      </c>
      <c r="AE555" s="72">
        <f t="shared" si="192"/>
        <v>0</v>
      </c>
      <c r="AF555" s="73">
        <f>IF(A555&gt;入力設定!$B$6*12,0,IF(AND(ISNUMBER(C555),C555&gt;=0,C555&lt;=1),0,1))</f>
        <v>0</v>
      </c>
    </row>
    <row r="556" spans="1:32" ht="21" customHeight="1">
      <c r="A556" s="68">
        <f>551</f>
        <v>551</v>
      </c>
      <c r="B556" s="69">
        <f>EDATE(入力設定!$B$7,A556-1)</f>
        <v>63068</v>
      </c>
      <c r="C556" s="80">
        <f>INDEX(入力設定!$C$15:$C$24,INT((A556-1)/60)+1)</f>
        <v>0.05</v>
      </c>
      <c r="D556" s="70">
        <f t="shared" ca="1" si="193"/>
        <v>0</v>
      </c>
      <c r="E556" s="70">
        <f t="shared" ca="1" si="194"/>
        <v>0</v>
      </c>
      <c r="F556" s="70">
        <f ca="1">IF(D556+Z556&lt;0.000001,0,IF(D556&lt;0.000001,F555,IF(OR(AE556=1,AND(K555&gt;0,入力設定!$B$8="返済額軽減型",入力設定!$B$11="翌月")),IF(C556=0,D556/MAX(1,E556),D556*(C556/12)/(1-(1+C556/12)^(-MAX(1,E556)))),F555)))</f>
        <v>0</v>
      </c>
      <c r="G556" s="70">
        <f t="shared" ca="1" si="176"/>
        <v>0</v>
      </c>
      <c r="H556" s="70">
        <f t="shared" ca="1" si="177"/>
        <v>0</v>
      </c>
      <c r="I556" s="70">
        <f t="shared" ca="1" si="178"/>
        <v>0</v>
      </c>
      <c r="J556" s="70">
        <f>SUMIFS(入力設定!$G$5:$G$24,入力設定!$F$5:$F$24,A556)</f>
        <v>0</v>
      </c>
      <c r="K556" s="70">
        <f t="shared" ca="1" si="179"/>
        <v>0</v>
      </c>
      <c r="L556" s="70">
        <f ca="1">IF(K556&gt;0,入力設定!$B$9,0)</f>
        <v>0</v>
      </c>
      <c r="M556" s="70">
        <f t="shared" ca="1" si="180"/>
        <v>0</v>
      </c>
      <c r="N556" s="70">
        <f ca="1">IF(M556+AA556&lt;0.000001,0,IF(AND(K556&gt;0,入力設定!$B$8="期間短縮型",AA556&lt;0.000001,F556&gt;M556*C556/12),MAX(1,MIN(E556-1,IF(C556=0,ROUNDUP(M556/F556,0),ROUNDUP(-LN(1-M556*(C556/12)/F556)/LN(1+C556/12),0)))),MAX(1,E556-1)))</f>
        <v>0</v>
      </c>
      <c r="O556" s="70">
        <f t="shared" ca="1" si="181"/>
        <v>0</v>
      </c>
      <c r="P556" s="70">
        <f t="shared" ca="1" si="195"/>
        <v>0</v>
      </c>
      <c r="Q556" s="70">
        <f ca="1">IF(OR(A556&gt;入力設定!$B$6*12,P556+AC556&lt;0.000001),0,IF(P556&lt;0.000001,Q555,IF(AE556=1,IF(C556=0,P556/MAX(1,入力設定!$B$6*12-A556+1),P556*(C556/12)/(1-(1+C556/12)^(-MAX(1,入力設定!$B$6*12-A556+1)))),Q555)))</f>
        <v>0</v>
      </c>
      <c r="R556" s="70">
        <f ca="1">IF(P556+AC556&lt;0.000001,0,IF(A556=入力設定!$B$6*12,P556+AB556+AC556,MIN(Q556,P556+AB556+AC556)))</f>
        <v>0</v>
      </c>
      <c r="S556" s="70">
        <f t="shared" ca="1" si="182"/>
        <v>0</v>
      </c>
      <c r="T556" s="70">
        <f t="shared" ca="1" si="183"/>
        <v>0</v>
      </c>
      <c r="U556" s="70">
        <f t="shared" ca="1" si="184"/>
        <v>0</v>
      </c>
      <c r="V556" s="70">
        <f t="shared" ca="1" si="185"/>
        <v>0</v>
      </c>
      <c r="W556" s="70">
        <f t="shared" ca="1" si="186"/>
        <v>0</v>
      </c>
      <c r="X556" s="70">
        <f t="shared" ca="1" si="187"/>
        <v>0</v>
      </c>
      <c r="Y556" s="71">
        <f t="shared" ca="1" si="188"/>
        <v>0</v>
      </c>
      <c r="Z556" s="71">
        <f t="shared" ca="1" si="196"/>
        <v>0</v>
      </c>
      <c r="AA556" s="71">
        <f t="shared" ca="1" si="189"/>
        <v>0</v>
      </c>
      <c r="AB556" s="71">
        <f t="shared" ca="1" si="190"/>
        <v>0</v>
      </c>
      <c r="AC556" s="71">
        <f t="shared" ca="1" si="197"/>
        <v>0</v>
      </c>
      <c r="AD556" s="71">
        <f t="shared" ca="1" si="191"/>
        <v>0</v>
      </c>
      <c r="AE556" s="72">
        <f t="shared" si="192"/>
        <v>0</v>
      </c>
      <c r="AF556" s="73">
        <f>IF(A556&gt;入力設定!$B$6*12,0,IF(AND(ISNUMBER(C556),C556&gt;=0,C556&lt;=1),0,1))</f>
        <v>0</v>
      </c>
    </row>
    <row r="557" spans="1:32" ht="21" customHeight="1">
      <c r="A557" s="68">
        <f>552</f>
        <v>552</v>
      </c>
      <c r="B557" s="69">
        <f>EDATE(入力設定!$B$7,A557-1)</f>
        <v>63098</v>
      </c>
      <c r="C557" s="80">
        <f>INDEX(入力設定!$C$15:$C$24,INT((A557-1)/60)+1)</f>
        <v>0.05</v>
      </c>
      <c r="D557" s="70">
        <f t="shared" ca="1" si="193"/>
        <v>0</v>
      </c>
      <c r="E557" s="70">
        <f t="shared" ca="1" si="194"/>
        <v>0</v>
      </c>
      <c r="F557" s="70">
        <f ca="1">IF(D557+Z557&lt;0.000001,0,IF(D557&lt;0.000001,F556,IF(OR(AE557=1,AND(K556&gt;0,入力設定!$B$8="返済額軽減型",入力設定!$B$11="翌月")),IF(C557=0,D557/MAX(1,E557),D557*(C557/12)/(1-(1+C557/12)^(-MAX(1,E557)))),F556)))</f>
        <v>0</v>
      </c>
      <c r="G557" s="70">
        <f t="shared" ca="1" si="176"/>
        <v>0</v>
      </c>
      <c r="H557" s="70">
        <f t="shared" ca="1" si="177"/>
        <v>0</v>
      </c>
      <c r="I557" s="70">
        <f t="shared" ca="1" si="178"/>
        <v>0</v>
      </c>
      <c r="J557" s="70">
        <f>SUMIFS(入力設定!$G$5:$G$24,入力設定!$F$5:$F$24,A557)</f>
        <v>0</v>
      </c>
      <c r="K557" s="70">
        <f t="shared" ca="1" si="179"/>
        <v>0</v>
      </c>
      <c r="L557" s="70">
        <f ca="1">IF(K557&gt;0,入力設定!$B$9,0)</f>
        <v>0</v>
      </c>
      <c r="M557" s="70">
        <f t="shared" ca="1" si="180"/>
        <v>0</v>
      </c>
      <c r="N557" s="70">
        <f ca="1">IF(M557+AA557&lt;0.000001,0,IF(AND(K557&gt;0,入力設定!$B$8="期間短縮型",AA557&lt;0.000001,F557&gt;M557*C557/12),MAX(1,MIN(E557-1,IF(C557=0,ROUNDUP(M557/F557,0),ROUNDUP(-LN(1-M557*(C557/12)/F557)/LN(1+C557/12),0)))),MAX(1,E557-1)))</f>
        <v>0</v>
      </c>
      <c r="O557" s="70">
        <f t="shared" ca="1" si="181"/>
        <v>0</v>
      </c>
      <c r="P557" s="70">
        <f t="shared" ca="1" si="195"/>
        <v>0</v>
      </c>
      <c r="Q557" s="70">
        <f ca="1">IF(OR(A557&gt;入力設定!$B$6*12,P557+AC557&lt;0.000001),0,IF(P557&lt;0.000001,Q556,IF(AE557=1,IF(C557=0,P557/MAX(1,入力設定!$B$6*12-A557+1),P557*(C557/12)/(1-(1+C557/12)^(-MAX(1,入力設定!$B$6*12-A557+1)))),Q556)))</f>
        <v>0</v>
      </c>
      <c r="R557" s="70">
        <f ca="1">IF(P557+AC557&lt;0.000001,0,IF(A557=入力設定!$B$6*12,P557+AB557+AC557,MIN(Q557,P557+AB557+AC557)))</f>
        <v>0</v>
      </c>
      <c r="S557" s="70">
        <f t="shared" ca="1" si="182"/>
        <v>0</v>
      </c>
      <c r="T557" s="70">
        <f t="shared" ca="1" si="183"/>
        <v>0</v>
      </c>
      <c r="U557" s="70">
        <f t="shared" ca="1" si="184"/>
        <v>0</v>
      </c>
      <c r="V557" s="70">
        <f t="shared" ca="1" si="185"/>
        <v>0</v>
      </c>
      <c r="W557" s="70">
        <f t="shared" ca="1" si="186"/>
        <v>0</v>
      </c>
      <c r="X557" s="70">
        <f t="shared" ca="1" si="187"/>
        <v>0</v>
      </c>
      <c r="Y557" s="71">
        <f t="shared" ca="1" si="188"/>
        <v>0</v>
      </c>
      <c r="Z557" s="71">
        <f t="shared" ca="1" si="196"/>
        <v>0</v>
      </c>
      <c r="AA557" s="71">
        <f t="shared" ca="1" si="189"/>
        <v>0</v>
      </c>
      <c r="AB557" s="71">
        <f t="shared" ca="1" si="190"/>
        <v>0</v>
      </c>
      <c r="AC557" s="71">
        <f t="shared" ca="1" si="197"/>
        <v>0</v>
      </c>
      <c r="AD557" s="71">
        <f t="shared" ca="1" si="191"/>
        <v>0</v>
      </c>
      <c r="AE557" s="72">
        <f t="shared" si="192"/>
        <v>0</v>
      </c>
      <c r="AF557" s="73">
        <f>IF(A557&gt;入力設定!$B$6*12,0,IF(AND(ISNUMBER(C557),C557&gt;=0,C557&lt;=1),0,1))</f>
        <v>0</v>
      </c>
    </row>
    <row r="558" spans="1:32" ht="21" customHeight="1">
      <c r="A558" s="68">
        <f>553</f>
        <v>553</v>
      </c>
      <c r="B558" s="69">
        <f>EDATE(入力設定!$B$7,A558-1)</f>
        <v>63129</v>
      </c>
      <c r="C558" s="80">
        <f>INDEX(入力設定!$C$15:$C$24,INT((A558-1)/60)+1)</f>
        <v>0.05</v>
      </c>
      <c r="D558" s="70">
        <f t="shared" ca="1" si="193"/>
        <v>0</v>
      </c>
      <c r="E558" s="70">
        <f t="shared" ca="1" si="194"/>
        <v>0</v>
      </c>
      <c r="F558" s="70">
        <f ca="1">IF(D558+Z558&lt;0.000001,0,IF(D558&lt;0.000001,F557,IF(OR(AE558=1,AND(K557&gt;0,入力設定!$B$8="返済額軽減型",入力設定!$B$11="翌月")),IF(C558=0,D558/MAX(1,E558),D558*(C558/12)/(1-(1+C558/12)^(-MAX(1,E558)))),F557)))</f>
        <v>0</v>
      </c>
      <c r="G558" s="70">
        <f t="shared" ca="1" si="176"/>
        <v>0</v>
      </c>
      <c r="H558" s="70">
        <f t="shared" ca="1" si="177"/>
        <v>0</v>
      </c>
      <c r="I558" s="70">
        <f t="shared" ca="1" si="178"/>
        <v>0</v>
      </c>
      <c r="J558" s="70">
        <f>SUMIFS(入力設定!$G$5:$G$24,入力設定!$F$5:$F$24,A558)</f>
        <v>0</v>
      </c>
      <c r="K558" s="70">
        <f t="shared" ca="1" si="179"/>
        <v>0</v>
      </c>
      <c r="L558" s="70">
        <f ca="1">IF(K558&gt;0,入力設定!$B$9,0)</f>
        <v>0</v>
      </c>
      <c r="M558" s="70">
        <f t="shared" ca="1" si="180"/>
        <v>0</v>
      </c>
      <c r="N558" s="70">
        <f ca="1">IF(M558+AA558&lt;0.000001,0,IF(AND(K558&gt;0,入力設定!$B$8="期間短縮型",AA558&lt;0.000001,F558&gt;M558*C558/12),MAX(1,MIN(E558-1,IF(C558=0,ROUNDUP(M558/F558,0),ROUNDUP(-LN(1-M558*(C558/12)/F558)/LN(1+C558/12),0)))),MAX(1,E558-1)))</f>
        <v>0</v>
      </c>
      <c r="O558" s="70">
        <f t="shared" ca="1" si="181"/>
        <v>0</v>
      </c>
      <c r="P558" s="70">
        <f t="shared" ca="1" si="195"/>
        <v>0</v>
      </c>
      <c r="Q558" s="70">
        <f ca="1">IF(OR(A558&gt;入力設定!$B$6*12,P558+AC558&lt;0.000001),0,IF(P558&lt;0.000001,Q557,IF(AE558=1,IF(C558=0,P558/MAX(1,入力設定!$B$6*12-A558+1),P558*(C558/12)/(1-(1+C558/12)^(-MAX(1,入力設定!$B$6*12-A558+1)))),Q557)))</f>
        <v>0</v>
      </c>
      <c r="R558" s="70">
        <f ca="1">IF(P558+AC558&lt;0.000001,0,IF(A558=入力設定!$B$6*12,P558+AB558+AC558,MIN(Q558,P558+AB558+AC558)))</f>
        <v>0</v>
      </c>
      <c r="S558" s="70">
        <f t="shared" ca="1" si="182"/>
        <v>0</v>
      </c>
      <c r="T558" s="70">
        <f t="shared" ca="1" si="183"/>
        <v>0</v>
      </c>
      <c r="U558" s="70">
        <f t="shared" ca="1" si="184"/>
        <v>0</v>
      </c>
      <c r="V558" s="70">
        <f t="shared" ca="1" si="185"/>
        <v>0</v>
      </c>
      <c r="W558" s="70">
        <f t="shared" ca="1" si="186"/>
        <v>0</v>
      </c>
      <c r="X558" s="70">
        <f t="shared" ca="1" si="187"/>
        <v>0</v>
      </c>
      <c r="Y558" s="71">
        <f t="shared" ca="1" si="188"/>
        <v>0</v>
      </c>
      <c r="Z558" s="71">
        <f t="shared" ca="1" si="196"/>
        <v>0</v>
      </c>
      <c r="AA558" s="71">
        <f t="shared" ca="1" si="189"/>
        <v>0</v>
      </c>
      <c r="AB558" s="71">
        <f t="shared" ca="1" si="190"/>
        <v>0</v>
      </c>
      <c r="AC558" s="71">
        <f t="shared" ca="1" si="197"/>
        <v>0</v>
      </c>
      <c r="AD558" s="71">
        <f t="shared" ca="1" si="191"/>
        <v>0</v>
      </c>
      <c r="AE558" s="72">
        <f t="shared" si="192"/>
        <v>0</v>
      </c>
      <c r="AF558" s="73">
        <f>IF(A558&gt;入力設定!$B$6*12,0,IF(AND(ISNUMBER(C558),C558&gt;=0,C558&lt;=1),0,1))</f>
        <v>0</v>
      </c>
    </row>
    <row r="559" spans="1:32" ht="21" customHeight="1">
      <c r="A559" s="68">
        <f>554</f>
        <v>554</v>
      </c>
      <c r="B559" s="69">
        <f>EDATE(入力設定!$B$7,A559-1)</f>
        <v>63159</v>
      </c>
      <c r="C559" s="80">
        <f>INDEX(入力設定!$C$15:$C$24,INT((A559-1)/60)+1)</f>
        <v>0.05</v>
      </c>
      <c r="D559" s="70">
        <f t="shared" ca="1" si="193"/>
        <v>0</v>
      </c>
      <c r="E559" s="70">
        <f t="shared" ca="1" si="194"/>
        <v>0</v>
      </c>
      <c r="F559" s="70">
        <f ca="1">IF(D559+Z559&lt;0.000001,0,IF(D559&lt;0.000001,F558,IF(OR(AE559=1,AND(K558&gt;0,入力設定!$B$8="返済額軽減型",入力設定!$B$11="翌月")),IF(C559=0,D559/MAX(1,E559),D559*(C559/12)/(1-(1+C559/12)^(-MAX(1,E559)))),F558)))</f>
        <v>0</v>
      </c>
      <c r="G559" s="70">
        <f t="shared" ca="1" si="176"/>
        <v>0</v>
      </c>
      <c r="H559" s="70">
        <f t="shared" ca="1" si="177"/>
        <v>0</v>
      </c>
      <c r="I559" s="70">
        <f t="shared" ca="1" si="178"/>
        <v>0</v>
      </c>
      <c r="J559" s="70">
        <f>SUMIFS(入力設定!$G$5:$G$24,入力設定!$F$5:$F$24,A559)</f>
        <v>0</v>
      </c>
      <c r="K559" s="70">
        <f t="shared" ca="1" si="179"/>
        <v>0</v>
      </c>
      <c r="L559" s="70">
        <f ca="1">IF(K559&gt;0,入力設定!$B$9,0)</f>
        <v>0</v>
      </c>
      <c r="M559" s="70">
        <f t="shared" ca="1" si="180"/>
        <v>0</v>
      </c>
      <c r="N559" s="70">
        <f ca="1">IF(M559+AA559&lt;0.000001,0,IF(AND(K559&gt;0,入力設定!$B$8="期間短縮型",AA559&lt;0.000001,F559&gt;M559*C559/12),MAX(1,MIN(E559-1,IF(C559=0,ROUNDUP(M559/F559,0),ROUNDUP(-LN(1-M559*(C559/12)/F559)/LN(1+C559/12),0)))),MAX(1,E559-1)))</f>
        <v>0</v>
      </c>
      <c r="O559" s="70">
        <f t="shared" ca="1" si="181"/>
        <v>0</v>
      </c>
      <c r="P559" s="70">
        <f t="shared" ca="1" si="195"/>
        <v>0</v>
      </c>
      <c r="Q559" s="70">
        <f ca="1">IF(OR(A559&gt;入力設定!$B$6*12,P559+AC559&lt;0.000001),0,IF(P559&lt;0.000001,Q558,IF(AE559=1,IF(C559=0,P559/MAX(1,入力設定!$B$6*12-A559+1),P559*(C559/12)/(1-(1+C559/12)^(-MAX(1,入力設定!$B$6*12-A559+1)))),Q558)))</f>
        <v>0</v>
      </c>
      <c r="R559" s="70">
        <f ca="1">IF(P559+AC559&lt;0.000001,0,IF(A559=入力設定!$B$6*12,P559+AB559+AC559,MIN(Q559,P559+AB559+AC559)))</f>
        <v>0</v>
      </c>
      <c r="S559" s="70">
        <f t="shared" ca="1" si="182"/>
        <v>0</v>
      </c>
      <c r="T559" s="70">
        <f t="shared" ca="1" si="183"/>
        <v>0</v>
      </c>
      <c r="U559" s="70">
        <f t="shared" ca="1" si="184"/>
        <v>0</v>
      </c>
      <c r="V559" s="70">
        <f t="shared" ca="1" si="185"/>
        <v>0</v>
      </c>
      <c r="W559" s="70">
        <f t="shared" ca="1" si="186"/>
        <v>0</v>
      </c>
      <c r="X559" s="70">
        <f t="shared" ca="1" si="187"/>
        <v>0</v>
      </c>
      <c r="Y559" s="71">
        <f t="shared" ca="1" si="188"/>
        <v>0</v>
      </c>
      <c r="Z559" s="71">
        <f t="shared" ca="1" si="196"/>
        <v>0</v>
      </c>
      <c r="AA559" s="71">
        <f t="shared" ca="1" si="189"/>
        <v>0</v>
      </c>
      <c r="AB559" s="71">
        <f t="shared" ca="1" si="190"/>
        <v>0</v>
      </c>
      <c r="AC559" s="71">
        <f t="shared" ca="1" si="197"/>
        <v>0</v>
      </c>
      <c r="AD559" s="71">
        <f t="shared" ca="1" si="191"/>
        <v>0</v>
      </c>
      <c r="AE559" s="72">
        <f t="shared" si="192"/>
        <v>0</v>
      </c>
      <c r="AF559" s="73">
        <f>IF(A559&gt;入力設定!$B$6*12,0,IF(AND(ISNUMBER(C559),C559&gt;=0,C559&lt;=1),0,1))</f>
        <v>0</v>
      </c>
    </row>
    <row r="560" spans="1:32" ht="21" customHeight="1">
      <c r="A560" s="68">
        <f>555</f>
        <v>555</v>
      </c>
      <c r="B560" s="69">
        <f>EDATE(入力設定!$B$7,A560-1)</f>
        <v>63190</v>
      </c>
      <c r="C560" s="80">
        <f>INDEX(入力設定!$C$15:$C$24,INT((A560-1)/60)+1)</f>
        <v>0.05</v>
      </c>
      <c r="D560" s="70">
        <f t="shared" ca="1" si="193"/>
        <v>0</v>
      </c>
      <c r="E560" s="70">
        <f t="shared" ca="1" si="194"/>
        <v>0</v>
      </c>
      <c r="F560" s="70">
        <f ca="1">IF(D560+Z560&lt;0.000001,0,IF(D560&lt;0.000001,F559,IF(OR(AE560=1,AND(K559&gt;0,入力設定!$B$8="返済額軽減型",入力設定!$B$11="翌月")),IF(C560=0,D560/MAX(1,E560),D560*(C560/12)/(1-(1+C560/12)^(-MAX(1,E560)))),F559)))</f>
        <v>0</v>
      </c>
      <c r="G560" s="70">
        <f t="shared" ca="1" si="176"/>
        <v>0</v>
      </c>
      <c r="H560" s="70">
        <f t="shared" ca="1" si="177"/>
        <v>0</v>
      </c>
      <c r="I560" s="70">
        <f t="shared" ca="1" si="178"/>
        <v>0</v>
      </c>
      <c r="J560" s="70">
        <f>SUMIFS(入力設定!$G$5:$G$24,入力設定!$F$5:$F$24,A560)</f>
        <v>0</v>
      </c>
      <c r="K560" s="70">
        <f t="shared" ca="1" si="179"/>
        <v>0</v>
      </c>
      <c r="L560" s="70">
        <f ca="1">IF(K560&gt;0,入力設定!$B$9,0)</f>
        <v>0</v>
      </c>
      <c r="M560" s="70">
        <f t="shared" ca="1" si="180"/>
        <v>0</v>
      </c>
      <c r="N560" s="70">
        <f ca="1">IF(M560+AA560&lt;0.000001,0,IF(AND(K560&gt;0,入力設定!$B$8="期間短縮型",AA560&lt;0.000001,F560&gt;M560*C560/12),MAX(1,MIN(E560-1,IF(C560=0,ROUNDUP(M560/F560,0),ROUNDUP(-LN(1-M560*(C560/12)/F560)/LN(1+C560/12),0)))),MAX(1,E560-1)))</f>
        <v>0</v>
      </c>
      <c r="O560" s="70">
        <f t="shared" ca="1" si="181"/>
        <v>0</v>
      </c>
      <c r="P560" s="70">
        <f t="shared" ca="1" si="195"/>
        <v>0</v>
      </c>
      <c r="Q560" s="70">
        <f ca="1">IF(OR(A560&gt;入力設定!$B$6*12,P560+AC560&lt;0.000001),0,IF(P560&lt;0.000001,Q559,IF(AE560=1,IF(C560=0,P560/MAX(1,入力設定!$B$6*12-A560+1),P560*(C560/12)/(1-(1+C560/12)^(-MAX(1,入力設定!$B$6*12-A560+1)))),Q559)))</f>
        <v>0</v>
      </c>
      <c r="R560" s="70">
        <f ca="1">IF(P560+AC560&lt;0.000001,0,IF(A560=入力設定!$B$6*12,P560+AB560+AC560,MIN(Q560,P560+AB560+AC560)))</f>
        <v>0</v>
      </c>
      <c r="S560" s="70">
        <f t="shared" ca="1" si="182"/>
        <v>0</v>
      </c>
      <c r="T560" s="70">
        <f t="shared" ca="1" si="183"/>
        <v>0</v>
      </c>
      <c r="U560" s="70">
        <f t="shared" ca="1" si="184"/>
        <v>0</v>
      </c>
      <c r="V560" s="70">
        <f t="shared" ca="1" si="185"/>
        <v>0</v>
      </c>
      <c r="W560" s="70">
        <f t="shared" ca="1" si="186"/>
        <v>0</v>
      </c>
      <c r="X560" s="70">
        <f t="shared" ca="1" si="187"/>
        <v>0</v>
      </c>
      <c r="Y560" s="71">
        <f t="shared" ca="1" si="188"/>
        <v>0</v>
      </c>
      <c r="Z560" s="71">
        <f t="shared" ca="1" si="196"/>
        <v>0</v>
      </c>
      <c r="AA560" s="71">
        <f t="shared" ca="1" si="189"/>
        <v>0</v>
      </c>
      <c r="AB560" s="71">
        <f t="shared" ca="1" si="190"/>
        <v>0</v>
      </c>
      <c r="AC560" s="71">
        <f t="shared" ca="1" si="197"/>
        <v>0</v>
      </c>
      <c r="AD560" s="71">
        <f t="shared" ca="1" si="191"/>
        <v>0</v>
      </c>
      <c r="AE560" s="72">
        <f t="shared" si="192"/>
        <v>0</v>
      </c>
      <c r="AF560" s="73">
        <f>IF(A560&gt;入力設定!$B$6*12,0,IF(AND(ISNUMBER(C560),C560&gt;=0,C560&lt;=1),0,1))</f>
        <v>0</v>
      </c>
    </row>
    <row r="561" spans="1:32" ht="21" customHeight="1">
      <c r="A561" s="68">
        <f>556</f>
        <v>556</v>
      </c>
      <c r="B561" s="69">
        <f>EDATE(入力設定!$B$7,A561-1)</f>
        <v>63221</v>
      </c>
      <c r="C561" s="80">
        <f>INDEX(入力設定!$C$15:$C$24,INT((A561-1)/60)+1)</f>
        <v>0.05</v>
      </c>
      <c r="D561" s="70">
        <f t="shared" ca="1" si="193"/>
        <v>0</v>
      </c>
      <c r="E561" s="70">
        <f t="shared" ca="1" si="194"/>
        <v>0</v>
      </c>
      <c r="F561" s="70">
        <f ca="1">IF(D561+Z561&lt;0.000001,0,IF(D561&lt;0.000001,F560,IF(OR(AE561=1,AND(K560&gt;0,入力設定!$B$8="返済額軽減型",入力設定!$B$11="翌月")),IF(C561=0,D561/MAX(1,E561),D561*(C561/12)/(1-(1+C561/12)^(-MAX(1,E561)))),F560)))</f>
        <v>0</v>
      </c>
      <c r="G561" s="70">
        <f t="shared" ca="1" si="176"/>
        <v>0</v>
      </c>
      <c r="H561" s="70">
        <f t="shared" ca="1" si="177"/>
        <v>0</v>
      </c>
      <c r="I561" s="70">
        <f t="shared" ca="1" si="178"/>
        <v>0</v>
      </c>
      <c r="J561" s="70">
        <f>SUMIFS(入力設定!$G$5:$G$24,入力設定!$F$5:$F$24,A561)</f>
        <v>0</v>
      </c>
      <c r="K561" s="70">
        <f t="shared" ca="1" si="179"/>
        <v>0</v>
      </c>
      <c r="L561" s="70">
        <f ca="1">IF(K561&gt;0,入力設定!$B$9,0)</f>
        <v>0</v>
      </c>
      <c r="M561" s="70">
        <f t="shared" ca="1" si="180"/>
        <v>0</v>
      </c>
      <c r="N561" s="70">
        <f ca="1">IF(M561+AA561&lt;0.000001,0,IF(AND(K561&gt;0,入力設定!$B$8="期間短縮型",AA561&lt;0.000001,F561&gt;M561*C561/12),MAX(1,MIN(E561-1,IF(C561=0,ROUNDUP(M561/F561,0),ROUNDUP(-LN(1-M561*(C561/12)/F561)/LN(1+C561/12),0)))),MAX(1,E561-1)))</f>
        <v>0</v>
      </c>
      <c r="O561" s="70">
        <f t="shared" ca="1" si="181"/>
        <v>0</v>
      </c>
      <c r="P561" s="70">
        <f t="shared" ca="1" si="195"/>
        <v>0</v>
      </c>
      <c r="Q561" s="70">
        <f ca="1">IF(OR(A561&gt;入力設定!$B$6*12,P561+AC561&lt;0.000001),0,IF(P561&lt;0.000001,Q560,IF(AE561=1,IF(C561=0,P561/MAX(1,入力設定!$B$6*12-A561+1),P561*(C561/12)/(1-(1+C561/12)^(-MAX(1,入力設定!$B$6*12-A561+1)))),Q560)))</f>
        <v>0</v>
      </c>
      <c r="R561" s="70">
        <f ca="1">IF(P561+AC561&lt;0.000001,0,IF(A561=入力設定!$B$6*12,P561+AB561+AC561,MIN(Q561,P561+AB561+AC561)))</f>
        <v>0</v>
      </c>
      <c r="S561" s="70">
        <f t="shared" ca="1" si="182"/>
        <v>0</v>
      </c>
      <c r="T561" s="70">
        <f t="shared" ca="1" si="183"/>
        <v>0</v>
      </c>
      <c r="U561" s="70">
        <f t="shared" ca="1" si="184"/>
        <v>0</v>
      </c>
      <c r="V561" s="70">
        <f t="shared" ca="1" si="185"/>
        <v>0</v>
      </c>
      <c r="W561" s="70">
        <f t="shared" ca="1" si="186"/>
        <v>0</v>
      </c>
      <c r="X561" s="70">
        <f t="shared" ca="1" si="187"/>
        <v>0</v>
      </c>
      <c r="Y561" s="71">
        <f t="shared" ca="1" si="188"/>
        <v>0</v>
      </c>
      <c r="Z561" s="71">
        <f t="shared" ca="1" si="196"/>
        <v>0</v>
      </c>
      <c r="AA561" s="71">
        <f t="shared" ca="1" si="189"/>
        <v>0</v>
      </c>
      <c r="AB561" s="71">
        <f t="shared" ca="1" si="190"/>
        <v>0</v>
      </c>
      <c r="AC561" s="71">
        <f t="shared" ca="1" si="197"/>
        <v>0</v>
      </c>
      <c r="AD561" s="71">
        <f t="shared" ca="1" si="191"/>
        <v>0</v>
      </c>
      <c r="AE561" s="72">
        <f t="shared" si="192"/>
        <v>0</v>
      </c>
      <c r="AF561" s="73">
        <f>IF(A561&gt;入力設定!$B$6*12,0,IF(AND(ISNUMBER(C561),C561&gt;=0,C561&lt;=1),0,1))</f>
        <v>0</v>
      </c>
    </row>
    <row r="562" spans="1:32" ht="21" customHeight="1">
      <c r="A562" s="68">
        <f>557</f>
        <v>557</v>
      </c>
      <c r="B562" s="69">
        <f>EDATE(入力設定!$B$7,A562-1)</f>
        <v>63249</v>
      </c>
      <c r="C562" s="80">
        <f>INDEX(入力設定!$C$15:$C$24,INT((A562-1)/60)+1)</f>
        <v>0.05</v>
      </c>
      <c r="D562" s="70">
        <f t="shared" ca="1" si="193"/>
        <v>0</v>
      </c>
      <c r="E562" s="70">
        <f t="shared" ca="1" si="194"/>
        <v>0</v>
      </c>
      <c r="F562" s="70">
        <f ca="1">IF(D562+Z562&lt;0.000001,0,IF(D562&lt;0.000001,F561,IF(OR(AE562=1,AND(K561&gt;0,入力設定!$B$8="返済額軽減型",入力設定!$B$11="翌月")),IF(C562=0,D562/MAX(1,E562),D562*(C562/12)/(1-(1+C562/12)^(-MAX(1,E562)))),F561)))</f>
        <v>0</v>
      </c>
      <c r="G562" s="70">
        <f t="shared" ca="1" si="176"/>
        <v>0</v>
      </c>
      <c r="H562" s="70">
        <f t="shared" ca="1" si="177"/>
        <v>0</v>
      </c>
      <c r="I562" s="70">
        <f t="shared" ca="1" si="178"/>
        <v>0</v>
      </c>
      <c r="J562" s="70">
        <f>SUMIFS(入力設定!$G$5:$G$24,入力設定!$F$5:$F$24,A562)</f>
        <v>0</v>
      </c>
      <c r="K562" s="70">
        <f t="shared" ca="1" si="179"/>
        <v>0</v>
      </c>
      <c r="L562" s="70">
        <f ca="1">IF(K562&gt;0,入力設定!$B$9,0)</f>
        <v>0</v>
      </c>
      <c r="M562" s="70">
        <f t="shared" ca="1" si="180"/>
        <v>0</v>
      </c>
      <c r="N562" s="70">
        <f ca="1">IF(M562+AA562&lt;0.000001,0,IF(AND(K562&gt;0,入力設定!$B$8="期間短縮型",AA562&lt;0.000001,F562&gt;M562*C562/12),MAX(1,MIN(E562-1,IF(C562=0,ROUNDUP(M562/F562,0),ROUNDUP(-LN(1-M562*(C562/12)/F562)/LN(1+C562/12),0)))),MAX(1,E562-1)))</f>
        <v>0</v>
      </c>
      <c r="O562" s="70">
        <f t="shared" ca="1" si="181"/>
        <v>0</v>
      </c>
      <c r="P562" s="70">
        <f t="shared" ca="1" si="195"/>
        <v>0</v>
      </c>
      <c r="Q562" s="70">
        <f ca="1">IF(OR(A562&gt;入力設定!$B$6*12,P562+AC562&lt;0.000001),0,IF(P562&lt;0.000001,Q561,IF(AE562=1,IF(C562=0,P562/MAX(1,入力設定!$B$6*12-A562+1),P562*(C562/12)/(1-(1+C562/12)^(-MAX(1,入力設定!$B$6*12-A562+1)))),Q561)))</f>
        <v>0</v>
      </c>
      <c r="R562" s="70">
        <f ca="1">IF(P562+AC562&lt;0.000001,0,IF(A562=入力設定!$B$6*12,P562+AB562+AC562,MIN(Q562,P562+AB562+AC562)))</f>
        <v>0</v>
      </c>
      <c r="S562" s="70">
        <f t="shared" ca="1" si="182"/>
        <v>0</v>
      </c>
      <c r="T562" s="70">
        <f t="shared" ca="1" si="183"/>
        <v>0</v>
      </c>
      <c r="U562" s="70">
        <f t="shared" ca="1" si="184"/>
        <v>0</v>
      </c>
      <c r="V562" s="70">
        <f t="shared" ca="1" si="185"/>
        <v>0</v>
      </c>
      <c r="W562" s="70">
        <f t="shared" ca="1" si="186"/>
        <v>0</v>
      </c>
      <c r="X562" s="70">
        <f t="shared" ca="1" si="187"/>
        <v>0</v>
      </c>
      <c r="Y562" s="71">
        <f t="shared" ca="1" si="188"/>
        <v>0</v>
      </c>
      <c r="Z562" s="71">
        <f t="shared" ca="1" si="196"/>
        <v>0</v>
      </c>
      <c r="AA562" s="71">
        <f t="shared" ca="1" si="189"/>
        <v>0</v>
      </c>
      <c r="AB562" s="71">
        <f t="shared" ca="1" si="190"/>
        <v>0</v>
      </c>
      <c r="AC562" s="71">
        <f t="shared" ca="1" si="197"/>
        <v>0</v>
      </c>
      <c r="AD562" s="71">
        <f t="shared" ca="1" si="191"/>
        <v>0</v>
      </c>
      <c r="AE562" s="72">
        <f t="shared" si="192"/>
        <v>0</v>
      </c>
      <c r="AF562" s="73">
        <f>IF(A562&gt;入力設定!$B$6*12,0,IF(AND(ISNUMBER(C562),C562&gt;=0,C562&lt;=1),0,1))</f>
        <v>0</v>
      </c>
    </row>
    <row r="563" spans="1:32" ht="21" customHeight="1">
      <c r="A563" s="68">
        <f>558</f>
        <v>558</v>
      </c>
      <c r="B563" s="69">
        <f>EDATE(入力設定!$B$7,A563-1)</f>
        <v>63280</v>
      </c>
      <c r="C563" s="80">
        <f>INDEX(入力設定!$C$15:$C$24,INT((A563-1)/60)+1)</f>
        <v>0.05</v>
      </c>
      <c r="D563" s="70">
        <f t="shared" ca="1" si="193"/>
        <v>0</v>
      </c>
      <c r="E563" s="70">
        <f t="shared" ca="1" si="194"/>
        <v>0</v>
      </c>
      <c r="F563" s="70">
        <f ca="1">IF(D563+Z563&lt;0.000001,0,IF(D563&lt;0.000001,F562,IF(OR(AE563=1,AND(K562&gt;0,入力設定!$B$8="返済額軽減型",入力設定!$B$11="翌月")),IF(C563=0,D563/MAX(1,E563),D563*(C563/12)/(1-(1+C563/12)^(-MAX(1,E563)))),F562)))</f>
        <v>0</v>
      </c>
      <c r="G563" s="70">
        <f t="shared" ca="1" si="176"/>
        <v>0</v>
      </c>
      <c r="H563" s="70">
        <f t="shared" ca="1" si="177"/>
        <v>0</v>
      </c>
      <c r="I563" s="70">
        <f t="shared" ca="1" si="178"/>
        <v>0</v>
      </c>
      <c r="J563" s="70">
        <f>SUMIFS(入力設定!$G$5:$G$24,入力設定!$F$5:$F$24,A563)</f>
        <v>0</v>
      </c>
      <c r="K563" s="70">
        <f t="shared" ca="1" si="179"/>
        <v>0</v>
      </c>
      <c r="L563" s="70">
        <f ca="1">IF(K563&gt;0,入力設定!$B$9,0)</f>
        <v>0</v>
      </c>
      <c r="M563" s="70">
        <f t="shared" ca="1" si="180"/>
        <v>0</v>
      </c>
      <c r="N563" s="70">
        <f ca="1">IF(M563+AA563&lt;0.000001,0,IF(AND(K563&gt;0,入力設定!$B$8="期間短縮型",AA563&lt;0.000001,F563&gt;M563*C563/12),MAX(1,MIN(E563-1,IF(C563=0,ROUNDUP(M563/F563,0),ROUNDUP(-LN(1-M563*(C563/12)/F563)/LN(1+C563/12),0)))),MAX(1,E563-1)))</f>
        <v>0</v>
      </c>
      <c r="O563" s="70">
        <f t="shared" ca="1" si="181"/>
        <v>0</v>
      </c>
      <c r="P563" s="70">
        <f t="shared" ca="1" si="195"/>
        <v>0</v>
      </c>
      <c r="Q563" s="70">
        <f ca="1">IF(OR(A563&gt;入力設定!$B$6*12,P563+AC563&lt;0.000001),0,IF(P563&lt;0.000001,Q562,IF(AE563=1,IF(C563=0,P563/MAX(1,入力設定!$B$6*12-A563+1),P563*(C563/12)/(1-(1+C563/12)^(-MAX(1,入力設定!$B$6*12-A563+1)))),Q562)))</f>
        <v>0</v>
      </c>
      <c r="R563" s="70">
        <f ca="1">IF(P563+AC563&lt;0.000001,0,IF(A563=入力設定!$B$6*12,P563+AB563+AC563,MIN(Q563,P563+AB563+AC563)))</f>
        <v>0</v>
      </c>
      <c r="S563" s="70">
        <f t="shared" ca="1" si="182"/>
        <v>0</v>
      </c>
      <c r="T563" s="70">
        <f t="shared" ca="1" si="183"/>
        <v>0</v>
      </c>
      <c r="U563" s="70">
        <f t="shared" ca="1" si="184"/>
        <v>0</v>
      </c>
      <c r="V563" s="70">
        <f t="shared" ca="1" si="185"/>
        <v>0</v>
      </c>
      <c r="W563" s="70">
        <f t="shared" ca="1" si="186"/>
        <v>0</v>
      </c>
      <c r="X563" s="70">
        <f t="shared" ca="1" si="187"/>
        <v>0</v>
      </c>
      <c r="Y563" s="71">
        <f t="shared" ca="1" si="188"/>
        <v>0</v>
      </c>
      <c r="Z563" s="71">
        <f t="shared" ca="1" si="196"/>
        <v>0</v>
      </c>
      <c r="AA563" s="71">
        <f t="shared" ca="1" si="189"/>
        <v>0</v>
      </c>
      <c r="AB563" s="71">
        <f t="shared" ca="1" si="190"/>
        <v>0</v>
      </c>
      <c r="AC563" s="71">
        <f t="shared" ca="1" si="197"/>
        <v>0</v>
      </c>
      <c r="AD563" s="71">
        <f t="shared" ca="1" si="191"/>
        <v>0</v>
      </c>
      <c r="AE563" s="72">
        <f t="shared" si="192"/>
        <v>0</v>
      </c>
      <c r="AF563" s="73">
        <f>IF(A563&gt;入力設定!$B$6*12,0,IF(AND(ISNUMBER(C563),C563&gt;=0,C563&lt;=1),0,1))</f>
        <v>0</v>
      </c>
    </row>
    <row r="564" spans="1:32" ht="21" customHeight="1">
      <c r="A564" s="68">
        <f>559</f>
        <v>559</v>
      </c>
      <c r="B564" s="69">
        <f>EDATE(入力設定!$B$7,A564-1)</f>
        <v>63310</v>
      </c>
      <c r="C564" s="80">
        <f>INDEX(入力設定!$C$15:$C$24,INT((A564-1)/60)+1)</f>
        <v>0.05</v>
      </c>
      <c r="D564" s="70">
        <f t="shared" ca="1" si="193"/>
        <v>0</v>
      </c>
      <c r="E564" s="70">
        <f t="shared" ca="1" si="194"/>
        <v>0</v>
      </c>
      <c r="F564" s="70">
        <f ca="1">IF(D564+Z564&lt;0.000001,0,IF(D564&lt;0.000001,F563,IF(OR(AE564=1,AND(K563&gt;0,入力設定!$B$8="返済額軽減型",入力設定!$B$11="翌月")),IF(C564=0,D564/MAX(1,E564),D564*(C564/12)/(1-(1+C564/12)^(-MAX(1,E564)))),F563)))</f>
        <v>0</v>
      </c>
      <c r="G564" s="70">
        <f t="shared" ca="1" si="176"/>
        <v>0</v>
      </c>
      <c r="H564" s="70">
        <f t="shared" ca="1" si="177"/>
        <v>0</v>
      </c>
      <c r="I564" s="70">
        <f t="shared" ca="1" si="178"/>
        <v>0</v>
      </c>
      <c r="J564" s="70">
        <f>SUMIFS(入力設定!$G$5:$G$24,入力設定!$F$5:$F$24,A564)</f>
        <v>0</v>
      </c>
      <c r="K564" s="70">
        <f t="shared" ca="1" si="179"/>
        <v>0</v>
      </c>
      <c r="L564" s="70">
        <f ca="1">IF(K564&gt;0,入力設定!$B$9,0)</f>
        <v>0</v>
      </c>
      <c r="M564" s="70">
        <f t="shared" ca="1" si="180"/>
        <v>0</v>
      </c>
      <c r="N564" s="70">
        <f ca="1">IF(M564+AA564&lt;0.000001,0,IF(AND(K564&gt;0,入力設定!$B$8="期間短縮型",AA564&lt;0.000001,F564&gt;M564*C564/12),MAX(1,MIN(E564-1,IF(C564=0,ROUNDUP(M564/F564,0),ROUNDUP(-LN(1-M564*(C564/12)/F564)/LN(1+C564/12),0)))),MAX(1,E564-1)))</f>
        <v>0</v>
      </c>
      <c r="O564" s="70">
        <f t="shared" ca="1" si="181"/>
        <v>0</v>
      </c>
      <c r="P564" s="70">
        <f t="shared" ca="1" si="195"/>
        <v>0</v>
      </c>
      <c r="Q564" s="70">
        <f ca="1">IF(OR(A564&gt;入力設定!$B$6*12,P564+AC564&lt;0.000001),0,IF(P564&lt;0.000001,Q563,IF(AE564=1,IF(C564=0,P564/MAX(1,入力設定!$B$6*12-A564+1),P564*(C564/12)/(1-(1+C564/12)^(-MAX(1,入力設定!$B$6*12-A564+1)))),Q563)))</f>
        <v>0</v>
      </c>
      <c r="R564" s="70">
        <f ca="1">IF(P564+AC564&lt;0.000001,0,IF(A564=入力設定!$B$6*12,P564+AB564+AC564,MIN(Q564,P564+AB564+AC564)))</f>
        <v>0</v>
      </c>
      <c r="S564" s="70">
        <f t="shared" ca="1" si="182"/>
        <v>0</v>
      </c>
      <c r="T564" s="70">
        <f t="shared" ca="1" si="183"/>
        <v>0</v>
      </c>
      <c r="U564" s="70">
        <f t="shared" ca="1" si="184"/>
        <v>0</v>
      </c>
      <c r="V564" s="70">
        <f t="shared" ca="1" si="185"/>
        <v>0</v>
      </c>
      <c r="W564" s="70">
        <f t="shared" ca="1" si="186"/>
        <v>0</v>
      </c>
      <c r="X564" s="70">
        <f t="shared" ca="1" si="187"/>
        <v>0</v>
      </c>
      <c r="Y564" s="71">
        <f t="shared" ca="1" si="188"/>
        <v>0</v>
      </c>
      <c r="Z564" s="71">
        <f t="shared" ca="1" si="196"/>
        <v>0</v>
      </c>
      <c r="AA564" s="71">
        <f t="shared" ca="1" si="189"/>
        <v>0</v>
      </c>
      <c r="AB564" s="71">
        <f t="shared" ca="1" si="190"/>
        <v>0</v>
      </c>
      <c r="AC564" s="71">
        <f t="shared" ca="1" si="197"/>
        <v>0</v>
      </c>
      <c r="AD564" s="71">
        <f t="shared" ca="1" si="191"/>
        <v>0</v>
      </c>
      <c r="AE564" s="72">
        <f t="shared" si="192"/>
        <v>0</v>
      </c>
      <c r="AF564" s="73">
        <f>IF(A564&gt;入力設定!$B$6*12,0,IF(AND(ISNUMBER(C564),C564&gt;=0,C564&lt;=1),0,1))</f>
        <v>0</v>
      </c>
    </row>
    <row r="565" spans="1:32" ht="21" customHeight="1">
      <c r="A565" s="68">
        <f>560</f>
        <v>560</v>
      </c>
      <c r="B565" s="69">
        <f>EDATE(入力設定!$B$7,A565-1)</f>
        <v>63341</v>
      </c>
      <c r="C565" s="80">
        <f>INDEX(入力設定!$C$15:$C$24,INT((A565-1)/60)+1)</f>
        <v>0.05</v>
      </c>
      <c r="D565" s="70">
        <f t="shared" ca="1" si="193"/>
        <v>0</v>
      </c>
      <c r="E565" s="70">
        <f t="shared" ca="1" si="194"/>
        <v>0</v>
      </c>
      <c r="F565" s="70">
        <f ca="1">IF(D565+Z565&lt;0.000001,0,IF(D565&lt;0.000001,F564,IF(OR(AE565=1,AND(K564&gt;0,入力設定!$B$8="返済額軽減型",入力設定!$B$11="翌月")),IF(C565=0,D565/MAX(1,E565),D565*(C565/12)/(1-(1+C565/12)^(-MAX(1,E565)))),F564)))</f>
        <v>0</v>
      </c>
      <c r="G565" s="70">
        <f t="shared" ca="1" si="176"/>
        <v>0</v>
      </c>
      <c r="H565" s="70">
        <f t="shared" ca="1" si="177"/>
        <v>0</v>
      </c>
      <c r="I565" s="70">
        <f t="shared" ca="1" si="178"/>
        <v>0</v>
      </c>
      <c r="J565" s="70">
        <f>SUMIFS(入力設定!$G$5:$G$24,入力設定!$F$5:$F$24,A565)</f>
        <v>0</v>
      </c>
      <c r="K565" s="70">
        <f t="shared" ca="1" si="179"/>
        <v>0</v>
      </c>
      <c r="L565" s="70">
        <f ca="1">IF(K565&gt;0,入力設定!$B$9,0)</f>
        <v>0</v>
      </c>
      <c r="M565" s="70">
        <f t="shared" ca="1" si="180"/>
        <v>0</v>
      </c>
      <c r="N565" s="70">
        <f ca="1">IF(M565+AA565&lt;0.000001,0,IF(AND(K565&gt;0,入力設定!$B$8="期間短縮型",AA565&lt;0.000001,F565&gt;M565*C565/12),MAX(1,MIN(E565-1,IF(C565=0,ROUNDUP(M565/F565,0),ROUNDUP(-LN(1-M565*(C565/12)/F565)/LN(1+C565/12),0)))),MAX(1,E565-1)))</f>
        <v>0</v>
      </c>
      <c r="O565" s="70">
        <f t="shared" ca="1" si="181"/>
        <v>0</v>
      </c>
      <c r="P565" s="70">
        <f t="shared" ca="1" si="195"/>
        <v>0</v>
      </c>
      <c r="Q565" s="70">
        <f ca="1">IF(OR(A565&gt;入力設定!$B$6*12,P565+AC565&lt;0.000001),0,IF(P565&lt;0.000001,Q564,IF(AE565=1,IF(C565=0,P565/MAX(1,入力設定!$B$6*12-A565+1),P565*(C565/12)/(1-(1+C565/12)^(-MAX(1,入力設定!$B$6*12-A565+1)))),Q564)))</f>
        <v>0</v>
      </c>
      <c r="R565" s="70">
        <f ca="1">IF(P565+AC565&lt;0.000001,0,IF(A565=入力設定!$B$6*12,P565+AB565+AC565,MIN(Q565,P565+AB565+AC565)))</f>
        <v>0</v>
      </c>
      <c r="S565" s="70">
        <f t="shared" ca="1" si="182"/>
        <v>0</v>
      </c>
      <c r="T565" s="70">
        <f t="shared" ca="1" si="183"/>
        <v>0</v>
      </c>
      <c r="U565" s="70">
        <f t="shared" ca="1" si="184"/>
        <v>0</v>
      </c>
      <c r="V565" s="70">
        <f t="shared" ca="1" si="185"/>
        <v>0</v>
      </c>
      <c r="W565" s="70">
        <f t="shared" ca="1" si="186"/>
        <v>0</v>
      </c>
      <c r="X565" s="70">
        <f t="shared" ca="1" si="187"/>
        <v>0</v>
      </c>
      <c r="Y565" s="71">
        <f t="shared" ca="1" si="188"/>
        <v>0</v>
      </c>
      <c r="Z565" s="71">
        <f t="shared" ca="1" si="196"/>
        <v>0</v>
      </c>
      <c r="AA565" s="71">
        <f t="shared" ca="1" si="189"/>
        <v>0</v>
      </c>
      <c r="AB565" s="71">
        <f t="shared" ca="1" si="190"/>
        <v>0</v>
      </c>
      <c r="AC565" s="71">
        <f t="shared" ca="1" si="197"/>
        <v>0</v>
      </c>
      <c r="AD565" s="71">
        <f t="shared" ca="1" si="191"/>
        <v>0</v>
      </c>
      <c r="AE565" s="72">
        <f t="shared" si="192"/>
        <v>0</v>
      </c>
      <c r="AF565" s="73">
        <f>IF(A565&gt;入力設定!$B$6*12,0,IF(AND(ISNUMBER(C565),C565&gt;=0,C565&lt;=1),0,1))</f>
        <v>0</v>
      </c>
    </row>
    <row r="566" spans="1:32" ht="21" customHeight="1">
      <c r="A566" s="68">
        <f>561</f>
        <v>561</v>
      </c>
      <c r="B566" s="69">
        <f>EDATE(入力設定!$B$7,A566-1)</f>
        <v>63371</v>
      </c>
      <c r="C566" s="80">
        <f>INDEX(入力設定!$C$15:$C$24,INT((A566-1)/60)+1)</f>
        <v>0.05</v>
      </c>
      <c r="D566" s="70">
        <f t="shared" ca="1" si="193"/>
        <v>0</v>
      </c>
      <c r="E566" s="70">
        <f t="shared" ca="1" si="194"/>
        <v>0</v>
      </c>
      <c r="F566" s="70">
        <f ca="1">IF(D566+Z566&lt;0.000001,0,IF(D566&lt;0.000001,F565,IF(OR(AE566=1,AND(K565&gt;0,入力設定!$B$8="返済額軽減型",入力設定!$B$11="翌月")),IF(C566=0,D566/MAX(1,E566),D566*(C566/12)/(1-(1+C566/12)^(-MAX(1,E566)))),F565)))</f>
        <v>0</v>
      </c>
      <c r="G566" s="70">
        <f t="shared" ca="1" si="176"/>
        <v>0</v>
      </c>
      <c r="H566" s="70">
        <f t="shared" ca="1" si="177"/>
        <v>0</v>
      </c>
      <c r="I566" s="70">
        <f t="shared" ca="1" si="178"/>
        <v>0</v>
      </c>
      <c r="J566" s="70">
        <f>SUMIFS(入力設定!$G$5:$G$24,入力設定!$F$5:$F$24,A566)</f>
        <v>0</v>
      </c>
      <c r="K566" s="70">
        <f t="shared" ca="1" si="179"/>
        <v>0</v>
      </c>
      <c r="L566" s="70">
        <f ca="1">IF(K566&gt;0,入力設定!$B$9,0)</f>
        <v>0</v>
      </c>
      <c r="M566" s="70">
        <f t="shared" ca="1" si="180"/>
        <v>0</v>
      </c>
      <c r="N566" s="70">
        <f ca="1">IF(M566+AA566&lt;0.000001,0,IF(AND(K566&gt;0,入力設定!$B$8="期間短縮型",AA566&lt;0.000001,F566&gt;M566*C566/12),MAX(1,MIN(E566-1,IF(C566=0,ROUNDUP(M566/F566,0),ROUNDUP(-LN(1-M566*(C566/12)/F566)/LN(1+C566/12),0)))),MAX(1,E566-1)))</f>
        <v>0</v>
      </c>
      <c r="O566" s="70">
        <f t="shared" ca="1" si="181"/>
        <v>0</v>
      </c>
      <c r="P566" s="70">
        <f t="shared" ca="1" si="195"/>
        <v>0</v>
      </c>
      <c r="Q566" s="70">
        <f ca="1">IF(OR(A566&gt;入力設定!$B$6*12,P566+AC566&lt;0.000001),0,IF(P566&lt;0.000001,Q565,IF(AE566=1,IF(C566=0,P566/MAX(1,入力設定!$B$6*12-A566+1),P566*(C566/12)/(1-(1+C566/12)^(-MAX(1,入力設定!$B$6*12-A566+1)))),Q565)))</f>
        <v>0</v>
      </c>
      <c r="R566" s="70">
        <f ca="1">IF(P566+AC566&lt;0.000001,0,IF(A566=入力設定!$B$6*12,P566+AB566+AC566,MIN(Q566,P566+AB566+AC566)))</f>
        <v>0</v>
      </c>
      <c r="S566" s="70">
        <f t="shared" ca="1" si="182"/>
        <v>0</v>
      </c>
      <c r="T566" s="70">
        <f t="shared" ca="1" si="183"/>
        <v>0</v>
      </c>
      <c r="U566" s="70">
        <f t="shared" ca="1" si="184"/>
        <v>0</v>
      </c>
      <c r="V566" s="70">
        <f t="shared" ca="1" si="185"/>
        <v>0</v>
      </c>
      <c r="W566" s="70">
        <f t="shared" ca="1" si="186"/>
        <v>0</v>
      </c>
      <c r="X566" s="70">
        <f t="shared" ca="1" si="187"/>
        <v>0</v>
      </c>
      <c r="Y566" s="71">
        <f t="shared" ca="1" si="188"/>
        <v>0</v>
      </c>
      <c r="Z566" s="71">
        <f t="shared" ca="1" si="196"/>
        <v>0</v>
      </c>
      <c r="AA566" s="71">
        <f t="shared" ca="1" si="189"/>
        <v>0</v>
      </c>
      <c r="AB566" s="71">
        <f t="shared" ca="1" si="190"/>
        <v>0</v>
      </c>
      <c r="AC566" s="71">
        <f t="shared" ca="1" si="197"/>
        <v>0</v>
      </c>
      <c r="AD566" s="71">
        <f t="shared" ca="1" si="191"/>
        <v>0</v>
      </c>
      <c r="AE566" s="72">
        <f t="shared" si="192"/>
        <v>0</v>
      </c>
      <c r="AF566" s="73">
        <f>IF(A566&gt;入力設定!$B$6*12,0,IF(AND(ISNUMBER(C566),C566&gt;=0,C566&lt;=1),0,1))</f>
        <v>0</v>
      </c>
    </row>
    <row r="567" spans="1:32" ht="21" customHeight="1">
      <c r="A567" s="68">
        <f>562</f>
        <v>562</v>
      </c>
      <c r="B567" s="69">
        <f>EDATE(入力設定!$B$7,A567-1)</f>
        <v>63402</v>
      </c>
      <c r="C567" s="80">
        <f>INDEX(入力設定!$C$15:$C$24,INT((A567-1)/60)+1)</f>
        <v>0.05</v>
      </c>
      <c r="D567" s="70">
        <f t="shared" ca="1" si="193"/>
        <v>0</v>
      </c>
      <c r="E567" s="70">
        <f t="shared" ca="1" si="194"/>
        <v>0</v>
      </c>
      <c r="F567" s="70">
        <f ca="1">IF(D567+Z567&lt;0.000001,0,IF(D567&lt;0.000001,F566,IF(OR(AE567=1,AND(K566&gt;0,入力設定!$B$8="返済額軽減型",入力設定!$B$11="翌月")),IF(C567=0,D567/MAX(1,E567),D567*(C567/12)/(1-(1+C567/12)^(-MAX(1,E567)))),F566)))</f>
        <v>0</v>
      </c>
      <c r="G567" s="70">
        <f t="shared" ca="1" si="176"/>
        <v>0</v>
      </c>
      <c r="H567" s="70">
        <f t="shared" ca="1" si="177"/>
        <v>0</v>
      </c>
      <c r="I567" s="70">
        <f t="shared" ca="1" si="178"/>
        <v>0</v>
      </c>
      <c r="J567" s="70">
        <f>SUMIFS(入力設定!$G$5:$G$24,入力設定!$F$5:$F$24,A567)</f>
        <v>0</v>
      </c>
      <c r="K567" s="70">
        <f t="shared" ca="1" si="179"/>
        <v>0</v>
      </c>
      <c r="L567" s="70">
        <f ca="1">IF(K567&gt;0,入力設定!$B$9,0)</f>
        <v>0</v>
      </c>
      <c r="M567" s="70">
        <f t="shared" ca="1" si="180"/>
        <v>0</v>
      </c>
      <c r="N567" s="70">
        <f ca="1">IF(M567+AA567&lt;0.000001,0,IF(AND(K567&gt;0,入力設定!$B$8="期間短縮型",AA567&lt;0.000001,F567&gt;M567*C567/12),MAX(1,MIN(E567-1,IF(C567=0,ROUNDUP(M567/F567,0),ROUNDUP(-LN(1-M567*(C567/12)/F567)/LN(1+C567/12),0)))),MAX(1,E567-1)))</f>
        <v>0</v>
      </c>
      <c r="O567" s="70">
        <f t="shared" ca="1" si="181"/>
        <v>0</v>
      </c>
      <c r="P567" s="70">
        <f t="shared" ca="1" si="195"/>
        <v>0</v>
      </c>
      <c r="Q567" s="70">
        <f ca="1">IF(OR(A567&gt;入力設定!$B$6*12,P567+AC567&lt;0.000001),0,IF(P567&lt;0.000001,Q566,IF(AE567=1,IF(C567=0,P567/MAX(1,入力設定!$B$6*12-A567+1),P567*(C567/12)/(1-(1+C567/12)^(-MAX(1,入力設定!$B$6*12-A567+1)))),Q566)))</f>
        <v>0</v>
      </c>
      <c r="R567" s="70">
        <f ca="1">IF(P567+AC567&lt;0.000001,0,IF(A567=入力設定!$B$6*12,P567+AB567+AC567,MIN(Q567,P567+AB567+AC567)))</f>
        <v>0</v>
      </c>
      <c r="S567" s="70">
        <f t="shared" ca="1" si="182"/>
        <v>0</v>
      </c>
      <c r="T567" s="70">
        <f t="shared" ca="1" si="183"/>
        <v>0</v>
      </c>
      <c r="U567" s="70">
        <f t="shared" ca="1" si="184"/>
        <v>0</v>
      </c>
      <c r="V567" s="70">
        <f t="shared" ca="1" si="185"/>
        <v>0</v>
      </c>
      <c r="W567" s="70">
        <f t="shared" ca="1" si="186"/>
        <v>0</v>
      </c>
      <c r="X567" s="70">
        <f t="shared" ca="1" si="187"/>
        <v>0</v>
      </c>
      <c r="Y567" s="71">
        <f t="shared" ca="1" si="188"/>
        <v>0</v>
      </c>
      <c r="Z567" s="71">
        <f t="shared" ca="1" si="196"/>
        <v>0</v>
      </c>
      <c r="AA567" s="71">
        <f t="shared" ca="1" si="189"/>
        <v>0</v>
      </c>
      <c r="AB567" s="71">
        <f t="shared" ca="1" si="190"/>
        <v>0</v>
      </c>
      <c r="AC567" s="71">
        <f t="shared" ca="1" si="197"/>
        <v>0</v>
      </c>
      <c r="AD567" s="71">
        <f t="shared" ca="1" si="191"/>
        <v>0</v>
      </c>
      <c r="AE567" s="72">
        <f t="shared" si="192"/>
        <v>0</v>
      </c>
      <c r="AF567" s="73">
        <f>IF(A567&gt;入力設定!$B$6*12,0,IF(AND(ISNUMBER(C567),C567&gt;=0,C567&lt;=1),0,1))</f>
        <v>0</v>
      </c>
    </row>
    <row r="568" spans="1:32" ht="21" customHeight="1">
      <c r="A568" s="68">
        <f>563</f>
        <v>563</v>
      </c>
      <c r="B568" s="69">
        <f>EDATE(入力設定!$B$7,A568-1)</f>
        <v>63433</v>
      </c>
      <c r="C568" s="80">
        <f>INDEX(入力設定!$C$15:$C$24,INT((A568-1)/60)+1)</f>
        <v>0.05</v>
      </c>
      <c r="D568" s="70">
        <f t="shared" ca="1" si="193"/>
        <v>0</v>
      </c>
      <c r="E568" s="70">
        <f t="shared" ca="1" si="194"/>
        <v>0</v>
      </c>
      <c r="F568" s="70">
        <f ca="1">IF(D568+Z568&lt;0.000001,0,IF(D568&lt;0.000001,F567,IF(OR(AE568=1,AND(K567&gt;0,入力設定!$B$8="返済額軽減型",入力設定!$B$11="翌月")),IF(C568=0,D568/MAX(1,E568),D568*(C568/12)/(1-(1+C568/12)^(-MAX(1,E568)))),F567)))</f>
        <v>0</v>
      </c>
      <c r="G568" s="70">
        <f t="shared" ca="1" si="176"/>
        <v>0</v>
      </c>
      <c r="H568" s="70">
        <f t="shared" ca="1" si="177"/>
        <v>0</v>
      </c>
      <c r="I568" s="70">
        <f t="shared" ca="1" si="178"/>
        <v>0</v>
      </c>
      <c r="J568" s="70">
        <f>SUMIFS(入力設定!$G$5:$G$24,入力設定!$F$5:$F$24,A568)</f>
        <v>0</v>
      </c>
      <c r="K568" s="70">
        <f t="shared" ca="1" si="179"/>
        <v>0</v>
      </c>
      <c r="L568" s="70">
        <f ca="1">IF(K568&gt;0,入力設定!$B$9,0)</f>
        <v>0</v>
      </c>
      <c r="M568" s="70">
        <f t="shared" ca="1" si="180"/>
        <v>0</v>
      </c>
      <c r="N568" s="70">
        <f ca="1">IF(M568+AA568&lt;0.000001,0,IF(AND(K568&gt;0,入力設定!$B$8="期間短縮型",AA568&lt;0.000001,F568&gt;M568*C568/12),MAX(1,MIN(E568-1,IF(C568=0,ROUNDUP(M568/F568,0),ROUNDUP(-LN(1-M568*(C568/12)/F568)/LN(1+C568/12),0)))),MAX(1,E568-1)))</f>
        <v>0</v>
      </c>
      <c r="O568" s="70">
        <f t="shared" ca="1" si="181"/>
        <v>0</v>
      </c>
      <c r="P568" s="70">
        <f t="shared" ca="1" si="195"/>
        <v>0</v>
      </c>
      <c r="Q568" s="70">
        <f ca="1">IF(OR(A568&gt;入力設定!$B$6*12,P568+AC568&lt;0.000001),0,IF(P568&lt;0.000001,Q567,IF(AE568=1,IF(C568=0,P568/MAX(1,入力設定!$B$6*12-A568+1),P568*(C568/12)/(1-(1+C568/12)^(-MAX(1,入力設定!$B$6*12-A568+1)))),Q567)))</f>
        <v>0</v>
      </c>
      <c r="R568" s="70">
        <f ca="1">IF(P568+AC568&lt;0.000001,0,IF(A568=入力設定!$B$6*12,P568+AB568+AC568,MIN(Q568,P568+AB568+AC568)))</f>
        <v>0</v>
      </c>
      <c r="S568" s="70">
        <f t="shared" ca="1" si="182"/>
        <v>0</v>
      </c>
      <c r="T568" s="70">
        <f t="shared" ca="1" si="183"/>
        <v>0</v>
      </c>
      <c r="U568" s="70">
        <f t="shared" ca="1" si="184"/>
        <v>0</v>
      </c>
      <c r="V568" s="70">
        <f t="shared" ca="1" si="185"/>
        <v>0</v>
      </c>
      <c r="W568" s="70">
        <f t="shared" ca="1" si="186"/>
        <v>0</v>
      </c>
      <c r="X568" s="70">
        <f t="shared" ca="1" si="187"/>
        <v>0</v>
      </c>
      <c r="Y568" s="71">
        <f t="shared" ca="1" si="188"/>
        <v>0</v>
      </c>
      <c r="Z568" s="71">
        <f t="shared" ca="1" si="196"/>
        <v>0</v>
      </c>
      <c r="AA568" s="71">
        <f t="shared" ca="1" si="189"/>
        <v>0</v>
      </c>
      <c r="AB568" s="71">
        <f t="shared" ca="1" si="190"/>
        <v>0</v>
      </c>
      <c r="AC568" s="71">
        <f t="shared" ca="1" si="197"/>
        <v>0</v>
      </c>
      <c r="AD568" s="71">
        <f t="shared" ca="1" si="191"/>
        <v>0</v>
      </c>
      <c r="AE568" s="72">
        <f t="shared" si="192"/>
        <v>0</v>
      </c>
      <c r="AF568" s="73">
        <f>IF(A568&gt;入力設定!$B$6*12,0,IF(AND(ISNUMBER(C568),C568&gt;=0,C568&lt;=1),0,1))</f>
        <v>0</v>
      </c>
    </row>
    <row r="569" spans="1:32" ht="21" customHeight="1">
      <c r="A569" s="68">
        <f>564</f>
        <v>564</v>
      </c>
      <c r="B569" s="69">
        <f>EDATE(入力設定!$B$7,A569-1)</f>
        <v>63463</v>
      </c>
      <c r="C569" s="80">
        <f>INDEX(入力設定!$C$15:$C$24,INT((A569-1)/60)+1)</f>
        <v>0.05</v>
      </c>
      <c r="D569" s="70">
        <f t="shared" ca="1" si="193"/>
        <v>0</v>
      </c>
      <c r="E569" s="70">
        <f t="shared" ca="1" si="194"/>
        <v>0</v>
      </c>
      <c r="F569" s="70">
        <f ca="1">IF(D569+Z569&lt;0.000001,0,IF(D569&lt;0.000001,F568,IF(OR(AE569=1,AND(K568&gt;0,入力設定!$B$8="返済額軽減型",入力設定!$B$11="翌月")),IF(C569=0,D569/MAX(1,E569),D569*(C569/12)/(1-(1+C569/12)^(-MAX(1,E569)))),F568)))</f>
        <v>0</v>
      </c>
      <c r="G569" s="70">
        <f t="shared" ca="1" si="176"/>
        <v>0</v>
      </c>
      <c r="H569" s="70">
        <f t="shared" ca="1" si="177"/>
        <v>0</v>
      </c>
      <c r="I569" s="70">
        <f t="shared" ca="1" si="178"/>
        <v>0</v>
      </c>
      <c r="J569" s="70">
        <f>SUMIFS(入力設定!$G$5:$G$24,入力設定!$F$5:$F$24,A569)</f>
        <v>0</v>
      </c>
      <c r="K569" s="70">
        <f t="shared" ca="1" si="179"/>
        <v>0</v>
      </c>
      <c r="L569" s="70">
        <f ca="1">IF(K569&gt;0,入力設定!$B$9,0)</f>
        <v>0</v>
      </c>
      <c r="M569" s="70">
        <f t="shared" ca="1" si="180"/>
        <v>0</v>
      </c>
      <c r="N569" s="70">
        <f ca="1">IF(M569+AA569&lt;0.000001,0,IF(AND(K569&gt;0,入力設定!$B$8="期間短縮型",AA569&lt;0.000001,F569&gt;M569*C569/12),MAX(1,MIN(E569-1,IF(C569=0,ROUNDUP(M569/F569,0),ROUNDUP(-LN(1-M569*(C569/12)/F569)/LN(1+C569/12),0)))),MAX(1,E569-1)))</f>
        <v>0</v>
      </c>
      <c r="O569" s="70">
        <f t="shared" ca="1" si="181"/>
        <v>0</v>
      </c>
      <c r="P569" s="70">
        <f t="shared" ca="1" si="195"/>
        <v>0</v>
      </c>
      <c r="Q569" s="70">
        <f ca="1">IF(OR(A569&gt;入力設定!$B$6*12,P569+AC569&lt;0.000001),0,IF(P569&lt;0.000001,Q568,IF(AE569=1,IF(C569=0,P569/MAX(1,入力設定!$B$6*12-A569+1),P569*(C569/12)/(1-(1+C569/12)^(-MAX(1,入力設定!$B$6*12-A569+1)))),Q568)))</f>
        <v>0</v>
      </c>
      <c r="R569" s="70">
        <f ca="1">IF(P569+AC569&lt;0.000001,0,IF(A569=入力設定!$B$6*12,P569+AB569+AC569,MIN(Q569,P569+AB569+AC569)))</f>
        <v>0</v>
      </c>
      <c r="S569" s="70">
        <f t="shared" ca="1" si="182"/>
        <v>0</v>
      </c>
      <c r="T569" s="70">
        <f t="shared" ca="1" si="183"/>
        <v>0</v>
      </c>
      <c r="U569" s="70">
        <f t="shared" ca="1" si="184"/>
        <v>0</v>
      </c>
      <c r="V569" s="70">
        <f t="shared" ca="1" si="185"/>
        <v>0</v>
      </c>
      <c r="W569" s="70">
        <f t="shared" ca="1" si="186"/>
        <v>0</v>
      </c>
      <c r="X569" s="70">
        <f t="shared" ca="1" si="187"/>
        <v>0</v>
      </c>
      <c r="Y569" s="71">
        <f t="shared" ca="1" si="188"/>
        <v>0</v>
      </c>
      <c r="Z569" s="71">
        <f t="shared" ca="1" si="196"/>
        <v>0</v>
      </c>
      <c r="AA569" s="71">
        <f t="shared" ca="1" si="189"/>
        <v>0</v>
      </c>
      <c r="AB569" s="71">
        <f t="shared" ca="1" si="190"/>
        <v>0</v>
      </c>
      <c r="AC569" s="71">
        <f t="shared" ca="1" si="197"/>
        <v>0</v>
      </c>
      <c r="AD569" s="71">
        <f t="shared" ca="1" si="191"/>
        <v>0</v>
      </c>
      <c r="AE569" s="72">
        <f t="shared" si="192"/>
        <v>0</v>
      </c>
      <c r="AF569" s="73">
        <f>IF(A569&gt;入力設定!$B$6*12,0,IF(AND(ISNUMBER(C569),C569&gt;=0,C569&lt;=1),0,1))</f>
        <v>0</v>
      </c>
    </row>
    <row r="570" spans="1:32" ht="21" customHeight="1">
      <c r="A570" s="68">
        <f>565</f>
        <v>565</v>
      </c>
      <c r="B570" s="69">
        <f>EDATE(入力設定!$B$7,A570-1)</f>
        <v>63494</v>
      </c>
      <c r="C570" s="80">
        <f>INDEX(入力設定!$C$15:$C$24,INT((A570-1)/60)+1)</f>
        <v>0.05</v>
      </c>
      <c r="D570" s="70">
        <f t="shared" ca="1" si="193"/>
        <v>0</v>
      </c>
      <c r="E570" s="70">
        <f t="shared" ca="1" si="194"/>
        <v>0</v>
      </c>
      <c r="F570" s="70">
        <f ca="1">IF(D570+Z570&lt;0.000001,0,IF(D570&lt;0.000001,F569,IF(OR(AE570=1,AND(K569&gt;0,入力設定!$B$8="返済額軽減型",入力設定!$B$11="翌月")),IF(C570=0,D570/MAX(1,E570),D570*(C570/12)/(1-(1+C570/12)^(-MAX(1,E570)))),F569)))</f>
        <v>0</v>
      </c>
      <c r="G570" s="70">
        <f t="shared" ca="1" si="176"/>
        <v>0</v>
      </c>
      <c r="H570" s="70">
        <f t="shared" ca="1" si="177"/>
        <v>0</v>
      </c>
      <c r="I570" s="70">
        <f t="shared" ca="1" si="178"/>
        <v>0</v>
      </c>
      <c r="J570" s="70">
        <f>SUMIFS(入力設定!$G$5:$G$24,入力設定!$F$5:$F$24,A570)</f>
        <v>0</v>
      </c>
      <c r="K570" s="70">
        <f t="shared" ca="1" si="179"/>
        <v>0</v>
      </c>
      <c r="L570" s="70">
        <f ca="1">IF(K570&gt;0,入力設定!$B$9,0)</f>
        <v>0</v>
      </c>
      <c r="M570" s="70">
        <f t="shared" ca="1" si="180"/>
        <v>0</v>
      </c>
      <c r="N570" s="70">
        <f ca="1">IF(M570+AA570&lt;0.000001,0,IF(AND(K570&gt;0,入力設定!$B$8="期間短縮型",AA570&lt;0.000001,F570&gt;M570*C570/12),MAX(1,MIN(E570-1,IF(C570=0,ROUNDUP(M570/F570,0),ROUNDUP(-LN(1-M570*(C570/12)/F570)/LN(1+C570/12),0)))),MAX(1,E570-1)))</f>
        <v>0</v>
      </c>
      <c r="O570" s="70">
        <f t="shared" ca="1" si="181"/>
        <v>0</v>
      </c>
      <c r="P570" s="70">
        <f t="shared" ca="1" si="195"/>
        <v>0</v>
      </c>
      <c r="Q570" s="70">
        <f ca="1">IF(OR(A570&gt;入力設定!$B$6*12,P570+AC570&lt;0.000001),0,IF(P570&lt;0.000001,Q569,IF(AE570=1,IF(C570=0,P570/MAX(1,入力設定!$B$6*12-A570+1),P570*(C570/12)/(1-(1+C570/12)^(-MAX(1,入力設定!$B$6*12-A570+1)))),Q569)))</f>
        <v>0</v>
      </c>
      <c r="R570" s="70">
        <f ca="1">IF(P570+AC570&lt;0.000001,0,IF(A570=入力設定!$B$6*12,P570+AB570+AC570,MIN(Q570,P570+AB570+AC570)))</f>
        <v>0</v>
      </c>
      <c r="S570" s="70">
        <f t="shared" ca="1" si="182"/>
        <v>0</v>
      </c>
      <c r="T570" s="70">
        <f t="shared" ca="1" si="183"/>
        <v>0</v>
      </c>
      <c r="U570" s="70">
        <f t="shared" ca="1" si="184"/>
        <v>0</v>
      </c>
      <c r="V570" s="70">
        <f t="shared" ca="1" si="185"/>
        <v>0</v>
      </c>
      <c r="W570" s="70">
        <f t="shared" ca="1" si="186"/>
        <v>0</v>
      </c>
      <c r="X570" s="70">
        <f t="shared" ca="1" si="187"/>
        <v>0</v>
      </c>
      <c r="Y570" s="71">
        <f t="shared" ca="1" si="188"/>
        <v>0</v>
      </c>
      <c r="Z570" s="71">
        <f t="shared" ca="1" si="196"/>
        <v>0</v>
      </c>
      <c r="AA570" s="71">
        <f t="shared" ca="1" si="189"/>
        <v>0</v>
      </c>
      <c r="AB570" s="71">
        <f t="shared" ca="1" si="190"/>
        <v>0</v>
      </c>
      <c r="AC570" s="71">
        <f t="shared" ca="1" si="197"/>
        <v>0</v>
      </c>
      <c r="AD570" s="71">
        <f t="shared" ca="1" si="191"/>
        <v>0</v>
      </c>
      <c r="AE570" s="72">
        <f t="shared" si="192"/>
        <v>0</v>
      </c>
      <c r="AF570" s="73">
        <f>IF(A570&gt;入力設定!$B$6*12,0,IF(AND(ISNUMBER(C570),C570&gt;=0,C570&lt;=1),0,1))</f>
        <v>0</v>
      </c>
    </row>
    <row r="571" spans="1:32" ht="21" customHeight="1">
      <c r="A571" s="68">
        <f>566</f>
        <v>566</v>
      </c>
      <c r="B571" s="69">
        <f>EDATE(入力設定!$B$7,A571-1)</f>
        <v>63524</v>
      </c>
      <c r="C571" s="80">
        <f>INDEX(入力設定!$C$15:$C$24,INT((A571-1)/60)+1)</f>
        <v>0.05</v>
      </c>
      <c r="D571" s="70">
        <f t="shared" ca="1" si="193"/>
        <v>0</v>
      </c>
      <c r="E571" s="70">
        <f t="shared" ca="1" si="194"/>
        <v>0</v>
      </c>
      <c r="F571" s="70">
        <f ca="1">IF(D571+Z571&lt;0.000001,0,IF(D571&lt;0.000001,F570,IF(OR(AE571=1,AND(K570&gt;0,入力設定!$B$8="返済額軽減型",入力設定!$B$11="翌月")),IF(C571=0,D571/MAX(1,E571),D571*(C571/12)/(1-(1+C571/12)^(-MAX(1,E571)))),F570)))</f>
        <v>0</v>
      </c>
      <c r="G571" s="70">
        <f t="shared" ca="1" si="176"/>
        <v>0</v>
      </c>
      <c r="H571" s="70">
        <f t="shared" ca="1" si="177"/>
        <v>0</v>
      </c>
      <c r="I571" s="70">
        <f t="shared" ca="1" si="178"/>
        <v>0</v>
      </c>
      <c r="J571" s="70">
        <f>SUMIFS(入力設定!$G$5:$G$24,入力設定!$F$5:$F$24,A571)</f>
        <v>0</v>
      </c>
      <c r="K571" s="70">
        <f t="shared" ca="1" si="179"/>
        <v>0</v>
      </c>
      <c r="L571" s="70">
        <f ca="1">IF(K571&gt;0,入力設定!$B$9,0)</f>
        <v>0</v>
      </c>
      <c r="M571" s="70">
        <f t="shared" ca="1" si="180"/>
        <v>0</v>
      </c>
      <c r="N571" s="70">
        <f ca="1">IF(M571+AA571&lt;0.000001,0,IF(AND(K571&gt;0,入力設定!$B$8="期間短縮型",AA571&lt;0.000001,F571&gt;M571*C571/12),MAX(1,MIN(E571-1,IF(C571=0,ROUNDUP(M571/F571,0),ROUNDUP(-LN(1-M571*(C571/12)/F571)/LN(1+C571/12),0)))),MAX(1,E571-1)))</f>
        <v>0</v>
      </c>
      <c r="O571" s="70">
        <f t="shared" ca="1" si="181"/>
        <v>0</v>
      </c>
      <c r="P571" s="70">
        <f t="shared" ca="1" si="195"/>
        <v>0</v>
      </c>
      <c r="Q571" s="70">
        <f ca="1">IF(OR(A571&gt;入力設定!$B$6*12,P571+AC571&lt;0.000001),0,IF(P571&lt;0.000001,Q570,IF(AE571=1,IF(C571=0,P571/MAX(1,入力設定!$B$6*12-A571+1),P571*(C571/12)/(1-(1+C571/12)^(-MAX(1,入力設定!$B$6*12-A571+1)))),Q570)))</f>
        <v>0</v>
      </c>
      <c r="R571" s="70">
        <f ca="1">IF(P571+AC571&lt;0.000001,0,IF(A571=入力設定!$B$6*12,P571+AB571+AC571,MIN(Q571,P571+AB571+AC571)))</f>
        <v>0</v>
      </c>
      <c r="S571" s="70">
        <f t="shared" ca="1" si="182"/>
        <v>0</v>
      </c>
      <c r="T571" s="70">
        <f t="shared" ca="1" si="183"/>
        <v>0</v>
      </c>
      <c r="U571" s="70">
        <f t="shared" ca="1" si="184"/>
        <v>0</v>
      </c>
      <c r="V571" s="70">
        <f t="shared" ca="1" si="185"/>
        <v>0</v>
      </c>
      <c r="W571" s="70">
        <f t="shared" ca="1" si="186"/>
        <v>0</v>
      </c>
      <c r="X571" s="70">
        <f t="shared" ca="1" si="187"/>
        <v>0</v>
      </c>
      <c r="Y571" s="71">
        <f t="shared" ca="1" si="188"/>
        <v>0</v>
      </c>
      <c r="Z571" s="71">
        <f t="shared" ca="1" si="196"/>
        <v>0</v>
      </c>
      <c r="AA571" s="71">
        <f t="shared" ca="1" si="189"/>
        <v>0</v>
      </c>
      <c r="AB571" s="71">
        <f t="shared" ca="1" si="190"/>
        <v>0</v>
      </c>
      <c r="AC571" s="71">
        <f t="shared" ca="1" si="197"/>
        <v>0</v>
      </c>
      <c r="AD571" s="71">
        <f t="shared" ca="1" si="191"/>
        <v>0</v>
      </c>
      <c r="AE571" s="72">
        <f t="shared" si="192"/>
        <v>0</v>
      </c>
      <c r="AF571" s="73">
        <f>IF(A571&gt;入力設定!$B$6*12,0,IF(AND(ISNUMBER(C571),C571&gt;=0,C571&lt;=1),0,1))</f>
        <v>0</v>
      </c>
    </row>
    <row r="572" spans="1:32" ht="21" customHeight="1">
      <c r="A572" s="68">
        <f>567</f>
        <v>567</v>
      </c>
      <c r="B572" s="69">
        <f>EDATE(入力設定!$B$7,A572-1)</f>
        <v>63555</v>
      </c>
      <c r="C572" s="80">
        <f>INDEX(入力設定!$C$15:$C$24,INT((A572-1)/60)+1)</f>
        <v>0.05</v>
      </c>
      <c r="D572" s="70">
        <f t="shared" ca="1" si="193"/>
        <v>0</v>
      </c>
      <c r="E572" s="70">
        <f t="shared" ca="1" si="194"/>
        <v>0</v>
      </c>
      <c r="F572" s="70">
        <f ca="1">IF(D572+Z572&lt;0.000001,0,IF(D572&lt;0.000001,F571,IF(OR(AE572=1,AND(K571&gt;0,入力設定!$B$8="返済額軽減型",入力設定!$B$11="翌月")),IF(C572=0,D572/MAX(1,E572),D572*(C572/12)/(1-(1+C572/12)^(-MAX(1,E572)))),F571)))</f>
        <v>0</v>
      </c>
      <c r="G572" s="70">
        <f t="shared" ca="1" si="176"/>
        <v>0</v>
      </c>
      <c r="H572" s="70">
        <f t="shared" ca="1" si="177"/>
        <v>0</v>
      </c>
      <c r="I572" s="70">
        <f t="shared" ca="1" si="178"/>
        <v>0</v>
      </c>
      <c r="J572" s="70">
        <f>SUMIFS(入力設定!$G$5:$G$24,入力設定!$F$5:$F$24,A572)</f>
        <v>0</v>
      </c>
      <c r="K572" s="70">
        <f t="shared" ca="1" si="179"/>
        <v>0</v>
      </c>
      <c r="L572" s="70">
        <f ca="1">IF(K572&gt;0,入力設定!$B$9,0)</f>
        <v>0</v>
      </c>
      <c r="M572" s="70">
        <f t="shared" ca="1" si="180"/>
        <v>0</v>
      </c>
      <c r="N572" s="70">
        <f ca="1">IF(M572+AA572&lt;0.000001,0,IF(AND(K572&gt;0,入力設定!$B$8="期間短縮型",AA572&lt;0.000001,F572&gt;M572*C572/12),MAX(1,MIN(E572-1,IF(C572=0,ROUNDUP(M572/F572,0),ROUNDUP(-LN(1-M572*(C572/12)/F572)/LN(1+C572/12),0)))),MAX(1,E572-1)))</f>
        <v>0</v>
      </c>
      <c r="O572" s="70">
        <f t="shared" ca="1" si="181"/>
        <v>0</v>
      </c>
      <c r="P572" s="70">
        <f t="shared" ca="1" si="195"/>
        <v>0</v>
      </c>
      <c r="Q572" s="70">
        <f ca="1">IF(OR(A572&gt;入力設定!$B$6*12,P572+AC572&lt;0.000001),0,IF(P572&lt;0.000001,Q571,IF(AE572=1,IF(C572=0,P572/MAX(1,入力設定!$B$6*12-A572+1),P572*(C572/12)/(1-(1+C572/12)^(-MAX(1,入力設定!$B$6*12-A572+1)))),Q571)))</f>
        <v>0</v>
      </c>
      <c r="R572" s="70">
        <f ca="1">IF(P572+AC572&lt;0.000001,0,IF(A572=入力設定!$B$6*12,P572+AB572+AC572,MIN(Q572,P572+AB572+AC572)))</f>
        <v>0</v>
      </c>
      <c r="S572" s="70">
        <f t="shared" ca="1" si="182"/>
        <v>0</v>
      </c>
      <c r="T572" s="70">
        <f t="shared" ca="1" si="183"/>
        <v>0</v>
      </c>
      <c r="U572" s="70">
        <f t="shared" ca="1" si="184"/>
        <v>0</v>
      </c>
      <c r="V572" s="70">
        <f t="shared" ca="1" si="185"/>
        <v>0</v>
      </c>
      <c r="W572" s="70">
        <f t="shared" ca="1" si="186"/>
        <v>0</v>
      </c>
      <c r="X572" s="70">
        <f t="shared" ca="1" si="187"/>
        <v>0</v>
      </c>
      <c r="Y572" s="71">
        <f t="shared" ca="1" si="188"/>
        <v>0</v>
      </c>
      <c r="Z572" s="71">
        <f t="shared" ca="1" si="196"/>
        <v>0</v>
      </c>
      <c r="AA572" s="71">
        <f t="shared" ca="1" si="189"/>
        <v>0</v>
      </c>
      <c r="AB572" s="71">
        <f t="shared" ca="1" si="190"/>
        <v>0</v>
      </c>
      <c r="AC572" s="71">
        <f t="shared" ca="1" si="197"/>
        <v>0</v>
      </c>
      <c r="AD572" s="71">
        <f t="shared" ca="1" si="191"/>
        <v>0</v>
      </c>
      <c r="AE572" s="72">
        <f t="shared" si="192"/>
        <v>0</v>
      </c>
      <c r="AF572" s="73">
        <f>IF(A572&gt;入力設定!$B$6*12,0,IF(AND(ISNUMBER(C572),C572&gt;=0,C572&lt;=1),0,1))</f>
        <v>0</v>
      </c>
    </row>
    <row r="573" spans="1:32" ht="21" customHeight="1">
      <c r="A573" s="68">
        <f>568</f>
        <v>568</v>
      </c>
      <c r="B573" s="69">
        <f>EDATE(入力設定!$B$7,A573-1)</f>
        <v>63586</v>
      </c>
      <c r="C573" s="80">
        <f>INDEX(入力設定!$C$15:$C$24,INT((A573-1)/60)+1)</f>
        <v>0.05</v>
      </c>
      <c r="D573" s="70">
        <f t="shared" ca="1" si="193"/>
        <v>0</v>
      </c>
      <c r="E573" s="70">
        <f t="shared" ca="1" si="194"/>
        <v>0</v>
      </c>
      <c r="F573" s="70">
        <f ca="1">IF(D573+Z573&lt;0.000001,0,IF(D573&lt;0.000001,F572,IF(OR(AE573=1,AND(K572&gt;0,入力設定!$B$8="返済額軽減型",入力設定!$B$11="翌月")),IF(C573=0,D573/MAX(1,E573),D573*(C573/12)/(1-(1+C573/12)^(-MAX(1,E573)))),F572)))</f>
        <v>0</v>
      </c>
      <c r="G573" s="70">
        <f t="shared" ca="1" si="176"/>
        <v>0</v>
      </c>
      <c r="H573" s="70">
        <f t="shared" ca="1" si="177"/>
        <v>0</v>
      </c>
      <c r="I573" s="70">
        <f t="shared" ca="1" si="178"/>
        <v>0</v>
      </c>
      <c r="J573" s="70">
        <f>SUMIFS(入力設定!$G$5:$G$24,入力設定!$F$5:$F$24,A573)</f>
        <v>0</v>
      </c>
      <c r="K573" s="70">
        <f t="shared" ca="1" si="179"/>
        <v>0</v>
      </c>
      <c r="L573" s="70">
        <f ca="1">IF(K573&gt;0,入力設定!$B$9,0)</f>
        <v>0</v>
      </c>
      <c r="M573" s="70">
        <f t="shared" ca="1" si="180"/>
        <v>0</v>
      </c>
      <c r="N573" s="70">
        <f ca="1">IF(M573+AA573&lt;0.000001,0,IF(AND(K573&gt;0,入力設定!$B$8="期間短縮型",AA573&lt;0.000001,F573&gt;M573*C573/12),MAX(1,MIN(E573-1,IF(C573=0,ROUNDUP(M573/F573,0),ROUNDUP(-LN(1-M573*(C573/12)/F573)/LN(1+C573/12),0)))),MAX(1,E573-1)))</f>
        <v>0</v>
      </c>
      <c r="O573" s="70">
        <f t="shared" ca="1" si="181"/>
        <v>0</v>
      </c>
      <c r="P573" s="70">
        <f t="shared" ca="1" si="195"/>
        <v>0</v>
      </c>
      <c r="Q573" s="70">
        <f ca="1">IF(OR(A573&gt;入力設定!$B$6*12,P573+AC573&lt;0.000001),0,IF(P573&lt;0.000001,Q572,IF(AE573=1,IF(C573=0,P573/MAX(1,入力設定!$B$6*12-A573+1),P573*(C573/12)/(1-(1+C573/12)^(-MAX(1,入力設定!$B$6*12-A573+1)))),Q572)))</f>
        <v>0</v>
      </c>
      <c r="R573" s="70">
        <f ca="1">IF(P573+AC573&lt;0.000001,0,IF(A573=入力設定!$B$6*12,P573+AB573+AC573,MIN(Q573,P573+AB573+AC573)))</f>
        <v>0</v>
      </c>
      <c r="S573" s="70">
        <f t="shared" ca="1" si="182"/>
        <v>0</v>
      </c>
      <c r="T573" s="70">
        <f t="shared" ca="1" si="183"/>
        <v>0</v>
      </c>
      <c r="U573" s="70">
        <f t="shared" ca="1" si="184"/>
        <v>0</v>
      </c>
      <c r="V573" s="70">
        <f t="shared" ca="1" si="185"/>
        <v>0</v>
      </c>
      <c r="W573" s="70">
        <f t="shared" ca="1" si="186"/>
        <v>0</v>
      </c>
      <c r="X573" s="70">
        <f t="shared" ca="1" si="187"/>
        <v>0</v>
      </c>
      <c r="Y573" s="71">
        <f t="shared" ca="1" si="188"/>
        <v>0</v>
      </c>
      <c r="Z573" s="71">
        <f t="shared" ca="1" si="196"/>
        <v>0</v>
      </c>
      <c r="AA573" s="71">
        <f t="shared" ca="1" si="189"/>
        <v>0</v>
      </c>
      <c r="AB573" s="71">
        <f t="shared" ca="1" si="190"/>
        <v>0</v>
      </c>
      <c r="AC573" s="71">
        <f t="shared" ca="1" si="197"/>
        <v>0</v>
      </c>
      <c r="AD573" s="71">
        <f t="shared" ca="1" si="191"/>
        <v>0</v>
      </c>
      <c r="AE573" s="72">
        <f t="shared" si="192"/>
        <v>0</v>
      </c>
      <c r="AF573" s="73">
        <f>IF(A573&gt;入力設定!$B$6*12,0,IF(AND(ISNUMBER(C573),C573&gt;=0,C573&lt;=1),0,1))</f>
        <v>0</v>
      </c>
    </row>
    <row r="574" spans="1:32" ht="21" customHeight="1">
      <c r="A574" s="68">
        <f>569</f>
        <v>569</v>
      </c>
      <c r="B574" s="69">
        <f>EDATE(入力設定!$B$7,A574-1)</f>
        <v>63614</v>
      </c>
      <c r="C574" s="80">
        <f>INDEX(入力設定!$C$15:$C$24,INT((A574-1)/60)+1)</f>
        <v>0.05</v>
      </c>
      <c r="D574" s="70">
        <f t="shared" ca="1" si="193"/>
        <v>0</v>
      </c>
      <c r="E574" s="70">
        <f t="shared" ca="1" si="194"/>
        <v>0</v>
      </c>
      <c r="F574" s="70">
        <f ca="1">IF(D574+Z574&lt;0.000001,0,IF(D574&lt;0.000001,F573,IF(OR(AE574=1,AND(K573&gt;0,入力設定!$B$8="返済額軽減型",入力設定!$B$11="翌月")),IF(C574=0,D574/MAX(1,E574),D574*(C574/12)/(1-(1+C574/12)^(-MAX(1,E574)))),F573)))</f>
        <v>0</v>
      </c>
      <c r="G574" s="70">
        <f t="shared" ca="1" si="176"/>
        <v>0</v>
      </c>
      <c r="H574" s="70">
        <f t="shared" ca="1" si="177"/>
        <v>0</v>
      </c>
      <c r="I574" s="70">
        <f t="shared" ca="1" si="178"/>
        <v>0</v>
      </c>
      <c r="J574" s="70">
        <f>SUMIFS(入力設定!$G$5:$G$24,入力設定!$F$5:$F$24,A574)</f>
        <v>0</v>
      </c>
      <c r="K574" s="70">
        <f t="shared" ca="1" si="179"/>
        <v>0</v>
      </c>
      <c r="L574" s="70">
        <f ca="1">IF(K574&gt;0,入力設定!$B$9,0)</f>
        <v>0</v>
      </c>
      <c r="M574" s="70">
        <f t="shared" ca="1" si="180"/>
        <v>0</v>
      </c>
      <c r="N574" s="70">
        <f ca="1">IF(M574+AA574&lt;0.000001,0,IF(AND(K574&gt;0,入力設定!$B$8="期間短縮型",AA574&lt;0.000001,F574&gt;M574*C574/12),MAX(1,MIN(E574-1,IF(C574=0,ROUNDUP(M574/F574,0),ROUNDUP(-LN(1-M574*(C574/12)/F574)/LN(1+C574/12),0)))),MAX(1,E574-1)))</f>
        <v>0</v>
      </c>
      <c r="O574" s="70">
        <f t="shared" ca="1" si="181"/>
        <v>0</v>
      </c>
      <c r="P574" s="70">
        <f t="shared" ca="1" si="195"/>
        <v>0</v>
      </c>
      <c r="Q574" s="70">
        <f ca="1">IF(OR(A574&gt;入力設定!$B$6*12,P574+AC574&lt;0.000001),0,IF(P574&lt;0.000001,Q573,IF(AE574=1,IF(C574=0,P574/MAX(1,入力設定!$B$6*12-A574+1),P574*(C574/12)/(1-(1+C574/12)^(-MAX(1,入力設定!$B$6*12-A574+1)))),Q573)))</f>
        <v>0</v>
      </c>
      <c r="R574" s="70">
        <f ca="1">IF(P574+AC574&lt;0.000001,0,IF(A574=入力設定!$B$6*12,P574+AB574+AC574,MIN(Q574,P574+AB574+AC574)))</f>
        <v>0</v>
      </c>
      <c r="S574" s="70">
        <f t="shared" ca="1" si="182"/>
        <v>0</v>
      </c>
      <c r="T574" s="70">
        <f t="shared" ca="1" si="183"/>
        <v>0</v>
      </c>
      <c r="U574" s="70">
        <f t="shared" ca="1" si="184"/>
        <v>0</v>
      </c>
      <c r="V574" s="70">
        <f t="shared" ca="1" si="185"/>
        <v>0</v>
      </c>
      <c r="W574" s="70">
        <f t="shared" ca="1" si="186"/>
        <v>0</v>
      </c>
      <c r="X574" s="70">
        <f t="shared" ca="1" si="187"/>
        <v>0</v>
      </c>
      <c r="Y574" s="71">
        <f t="shared" ca="1" si="188"/>
        <v>0</v>
      </c>
      <c r="Z574" s="71">
        <f t="shared" ca="1" si="196"/>
        <v>0</v>
      </c>
      <c r="AA574" s="71">
        <f t="shared" ca="1" si="189"/>
        <v>0</v>
      </c>
      <c r="AB574" s="71">
        <f t="shared" ca="1" si="190"/>
        <v>0</v>
      </c>
      <c r="AC574" s="71">
        <f t="shared" ca="1" si="197"/>
        <v>0</v>
      </c>
      <c r="AD574" s="71">
        <f t="shared" ca="1" si="191"/>
        <v>0</v>
      </c>
      <c r="AE574" s="72">
        <f t="shared" si="192"/>
        <v>0</v>
      </c>
      <c r="AF574" s="73">
        <f>IF(A574&gt;入力設定!$B$6*12,0,IF(AND(ISNUMBER(C574),C574&gt;=0,C574&lt;=1),0,1))</f>
        <v>0</v>
      </c>
    </row>
    <row r="575" spans="1:32" ht="21" customHeight="1">
      <c r="A575" s="68">
        <f>570</f>
        <v>570</v>
      </c>
      <c r="B575" s="69">
        <f>EDATE(入力設定!$B$7,A575-1)</f>
        <v>63645</v>
      </c>
      <c r="C575" s="80">
        <f>INDEX(入力設定!$C$15:$C$24,INT((A575-1)/60)+1)</f>
        <v>0.05</v>
      </c>
      <c r="D575" s="70">
        <f t="shared" ca="1" si="193"/>
        <v>0</v>
      </c>
      <c r="E575" s="70">
        <f t="shared" ca="1" si="194"/>
        <v>0</v>
      </c>
      <c r="F575" s="70">
        <f ca="1">IF(D575+Z575&lt;0.000001,0,IF(D575&lt;0.000001,F574,IF(OR(AE575=1,AND(K574&gt;0,入力設定!$B$8="返済額軽減型",入力設定!$B$11="翌月")),IF(C575=0,D575/MAX(1,E575),D575*(C575/12)/(1-(1+C575/12)^(-MAX(1,E575)))),F574)))</f>
        <v>0</v>
      </c>
      <c r="G575" s="70">
        <f t="shared" ca="1" si="176"/>
        <v>0</v>
      </c>
      <c r="H575" s="70">
        <f t="shared" ca="1" si="177"/>
        <v>0</v>
      </c>
      <c r="I575" s="70">
        <f t="shared" ca="1" si="178"/>
        <v>0</v>
      </c>
      <c r="J575" s="70">
        <f>SUMIFS(入力設定!$G$5:$G$24,入力設定!$F$5:$F$24,A575)</f>
        <v>0</v>
      </c>
      <c r="K575" s="70">
        <f t="shared" ca="1" si="179"/>
        <v>0</v>
      </c>
      <c r="L575" s="70">
        <f ca="1">IF(K575&gt;0,入力設定!$B$9,0)</f>
        <v>0</v>
      </c>
      <c r="M575" s="70">
        <f t="shared" ca="1" si="180"/>
        <v>0</v>
      </c>
      <c r="N575" s="70">
        <f ca="1">IF(M575+AA575&lt;0.000001,0,IF(AND(K575&gt;0,入力設定!$B$8="期間短縮型",AA575&lt;0.000001,F575&gt;M575*C575/12),MAX(1,MIN(E575-1,IF(C575=0,ROUNDUP(M575/F575,0),ROUNDUP(-LN(1-M575*(C575/12)/F575)/LN(1+C575/12),0)))),MAX(1,E575-1)))</f>
        <v>0</v>
      </c>
      <c r="O575" s="70">
        <f t="shared" ca="1" si="181"/>
        <v>0</v>
      </c>
      <c r="P575" s="70">
        <f t="shared" ca="1" si="195"/>
        <v>0</v>
      </c>
      <c r="Q575" s="70">
        <f ca="1">IF(OR(A575&gt;入力設定!$B$6*12,P575+AC575&lt;0.000001),0,IF(P575&lt;0.000001,Q574,IF(AE575=1,IF(C575=0,P575/MAX(1,入力設定!$B$6*12-A575+1),P575*(C575/12)/(1-(1+C575/12)^(-MAX(1,入力設定!$B$6*12-A575+1)))),Q574)))</f>
        <v>0</v>
      </c>
      <c r="R575" s="70">
        <f ca="1">IF(P575+AC575&lt;0.000001,0,IF(A575=入力設定!$B$6*12,P575+AB575+AC575,MIN(Q575,P575+AB575+AC575)))</f>
        <v>0</v>
      </c>
      <c r="S575" s="70">
        <f t="shared" ca="1" si="182"/>
        <v>0</v>
      </c>
      <c r="T575" s="70">
        <f t="shared" ca="1" si="183"/>
        <v>0</v>
      </c>
      <c r="U575" s="70">
        <f t="shared" ca="1" si="184"/>
        <v>0</v>
      </c>
      <c r="V575" s="70">
        <f t="shared" ca="1" si="185"/>
        <v>0</v>
      </c>
      <c r="W575" s="70">
        <f t="shared" ca="1" si="186"/>
        <v>0</v>
      </c>
      <c r="X575" s="70">
        <f t="shared" ca="1" si="187"/>
        <v>0</v>
      </c>
      <c r="Y575" s="71">
        <f t="shared" ca="1" si="188"/>
        <v>0</v>
      </c>
      <c r="Z575" s="71">
        <f t="shared" ca="1" si="196"/>
        <v>0</v>
      </c>
      <c r="AA575" s="71">
        <f t="shared" ca="1" si="189"/>
        <v>0</v>
      </c>
      <c r="AB575" s="71">
        <f t="shared" ca="1" si="190"/>
        <v>0</v>
      </c>
      <c r="AC575" s="71">
        <f t="shared" ca="1" si="197"/>
        <v>0</v>
      </c>
      <c r="AD575" s="71">
        <f t="shared" ca="1" si="191"/>
        <v>0</v>
      </c>
      <c r="AE575" s="72">
        <f t="shared" si="192"/>
        <v>0</v>
      </c>
      <c r="AF575" s="73">
        <f>IF(A575&gt;入力設定!$B$6*12,0,IF(AND(ISNUMBER(C575),C575&gt;=0,C575&lt;=1),0,1))</f>
        <v>0</v>
      </c>
    </row>
    <row r="576" spans="1:32" ht="21" customHeight="1">
      <c r="A576" s="68">
        <f>571</f>
        <v>571</v>
      </c>
      <c r="B576" s="69">
        <f>EDATE(入力設定!$B$7,A576-1)</f>
        <v>63675</v>
      </c>
      <c r="C576" s="80">
        <f>INDEX(入力設定!$C$15:$C$24,INT((A576-1)/60)+1)</f>
        <v>0.05</v>
      </c>
      <c r="D576" s="70">
        <f t="shared" ca="1" si="193"/>
        <v>0</v>
      </c>
      <c r="E576" s="70">
        <f t="shared" ca="1" si="194"/>
        <v>0</v>
      </c>
      <c r="F576" s="70">
        <f ca="1">IF(D576+Z576&lt;0.000001,0,IF(D576&lt;0.000001,F575,IF(OR(AE576=1,AND(K575&gt;0,入力設定!$B$8="返済額軽減型",入力設定!$B$11="翌月")),IF(C576=0,D576/MAX(1,E576),D576*(C576/12)/(1-(1+C576/12)^(-MAX(1,E576)))),F575)))</f>
        <v>0</v>
      </c>
      <c r="G576" s="70">
        <f t="shared" ca="1" si="176"/>
        <v>0</v>
      </c>
      <c r="H576" s="70">
        <f t="shared" ca="1" si="177"/>
        <v>0</v>
      </c>
      <c r="I576" s="70">
        <f t="shared" ca="1" si="178"/>
        <v>0</v>
      </c>
      <c r="J576" s="70">
        <f>SUMIFS(入力設定!$G$5:$G$24,入力設定!$F$5:$F$24,A576)</f>
        <v>0</v>
      </c>
      <c r="K576" s="70">
        <f t="shared" ca="1" si="179"/>
        <v>0</v>
      </c>
      <c r="L576" s="70">
        <f ca="1">IF(K576&gt;0,入力設定!$B$9,0)</f>
        <v>0</v>
      </c>
      <c r="M576" s="70">
        <f t="shared" ca="1" si="180"/>
        <v>0</v>
      </c>
      <c r="N576" s="70">
        <f ca="1">IF(M576+AA576&lt;0.000001,0,IF(AND(K576&gt;0,入力設定!$B$8="期間短縮型",AA576&lt;0.000001,F576&gt;M576*C576/12),MAX(1,MIN(E576-1,IF(C576=0,ROUNDUP(M576/F576,0),ROUNDUP(-LN(1-M576*(C576/12)/F576)/LN(1+C576/12),0)))),MAX(1,E576-1)))</f>
        <v>0</v>
      </c>
      <c r="O576" s="70">
        <f t="shared" ca="1" si="181"/>
        <v>0</v>
      </c>
      <c r="P576" s="70">
        <f t="shared" ca="1" si="195"/>
        <v>0</v>
      </c>
      <c r="Q576" s="70">
        <f ca="1">IF(OR(A576&gt;入力設定!$B$6*12,P576+AC576&lt;0.000001),0,IF(P576&lt;0.000001,Q575,IF(AE576=1,IF(C576=0,P576/MAX(1,入力設定!$B$6*12-A576+1),P576*(C576/12)/(1-(1+C576/12)^(-MAX(1,入力設定!$B$6*12-A576+1)))),Q575)))</f>
        <v>0</v>
      </c>
      <c r="R576" s="70">
        <f ca="1">IF(P576+AC576&lt;0.000001,0,IF(A576=入力設定!$B$6*12,P576+AB576+AC576,MIN(Q576,P576+AB576+AC576)))</f>
        <v>0</v>
      </c>
      <c r="S576" s="70">
        <f t="shared" ca="1" si="182"/>
        <v>0</v>
      </c>
      <c r="T576" s="70">
        <f t="shared" ca="1" si="183"/>
        <v>0</v>
      </c>
      <c r="U576" s="70">
        <f t="shared" ca="1" si="184"/>
        <v>0</v>
      </c>
      <c r="V576" s="70">
        <f t="shared" ca="1" si="185"/>
        <v>0</v>
      </c>
      <c r="W576" s="70">
        <f t="shared" ca="1" si="186"/>
        <v>0</v>
      </c>
      <c r="X576" s="70">
        <f t="shared" ca="1" si="187"/>
        <v>0</v>
      </c>
      <c r="Y576" s="71">
        <f t="shared" ca="1" si="188"/>
        <v>0</v>
      </c>
      <c r="Z576" s="71">
        <f t="shared" ca="1" si="196"/>
        <v>0</v>
      </c>
      <c r="AA576" s="71">
        <f t="shared" ca="1" si="189"/>
        <v>0</v>
      </c>
      <c r="AB576" s="71">
        <f t="shared" ca="1" si="190"/>
        <v>0</v>
      </c>
      <c r="AC576" s="71">
        <f t="shared" ca="1" si="197"/>
        <v>0</v>
      </c>
      <c r="AD576" s="71">
        <f t="shared" ca="1" si="191"/>
        <v>0</v>
      </c>
      <c r="AE576" s="72">
        <f t="shared" si="192"/>
        <v>0</v>
      </c>
      <c r="AF576" s="73">
        <f>IF(A576&gt;入力設定!$B$6*12,0,IF(AND(ISNUMBER(C576),C576&gt;=0,C576&lt;=1),0,1))</f>
        <v>0</v>
      </c>
    </row>
    <row r="577" spans="1:32" ht="21" customHeight="1">
      <c r="A577" s="68">
        <f>572</f>
        <v>572</v>
      </c>
      <c r="B577" s="69">
        <f>EDATE(入力設定!$B$7,A577-1)</f>
        <v>63706</v>
      </c>
      <c r="C577" s="80">
        <f>INDEX(入力設定!$C$15:$C$24,INT((A577-1)/60)+1)</f>
        <v>0.05</v>
      </c>
      <c r="D577" s="70">
        <f t="shared" ca="1" si="193"/>
        <v>0</v>
      </c>
      <c r="E577" s="70">
        <f t="shared" ca="1" si="194"/>
        <v>0</v>
      </c>
      <c r="F577" s="70">
        <f ca="1">IF(D577+Z577&lt;0.000001,0,IF(D577&lt;0.000001,F576,IF(OR(AE577=1,AND(K576&gt;0,入力設定!$B$8="返済額軽減型",入力設定!$B$11="翌月")),IF(C577=0,D577/MAX(1,E577),D577*(C577/12)/(1-(1+C577/12)^(-MAX(1,E577)))),F576)))</f>
        <v>0</v>
      </c>
      <c r="G577" s="70">
        <f t="shared" ca="1" si="176"/>
        <v>0</v>
      </c>
      <c r="H577" s="70">
        <f t="shared" ca="1" si="177"/>
        <v>0</v>
      </c>
      <c r="I577" s="70">
        <f t="shared" ca="1" si="178"/>
        <v>0</v>
      </c>
      <c r="J577" s="70">
        <f>SUMIFS(入力設定!$G$5:$G$24,入力設定!$F$5:$F$24,A577)</f>
        <v>0</v>
      </c>
      <c r="K577" s="70">
        <f t="shared" ca="1" si="179"/>
        <v>0</v>
      </c>
      <c r="L577" s="70">
        <f ca="1">IF(K577&gt;0,入力設定!$B$9,0)</f>
        <v>0</v>
      </c>
      <c r="M577" s="70">
        <f t="shared" ca="1" si="180"/>
        <v>0</v>
      </c>
      <c r="N577" s="70">
        <f ca="1">IF(M577+AA577&lt;0.000001,0,IF(AND(K577&gt;0,入力設定!$B$8="期間短縮型",AA577&lt;0.000001,F577&gt;M577*C577/12),MAX(1,MIN(E577-1,IF(C577=0,ROUNDUP(M577/F577,0),ROUNDUP(-LN(1-M577*(C577/12)/F577)/LN(1+C577/12),0)))),MAX(1,E577-1)))</f>
        <v>0</v>
      </c>
      <c r="O577" s="70">
        <f t="shared" ca="1" si="181"/>
        <v>0</v>
      </c>
      <c r="P577" s="70">
        <f t="shared" ca="1" si="195"/>
        <v>0</v>
      </c>
      <c r="Q577" s="70">
        <f ca="1">IF(OR(A577&gt;入力設定!$B$6*12,P577+AC577&lt;0.000001),0,IF(P577&lt;0.000001,Q576,IF(AE577=1,IF(C577=0,P577/MAX(1,入力設定!$B$6*12-A577+1),P577*(C577/12)/(1-(1+C577/12)^(-MAX(1,入力設定!$B$6*12-A577+1)))),Q576)))</f>
        <v>0</v>
      </c>
      <c r="R577" s="70">
        <f ca="1">IF(P577+AC577&lt;0.000001,0,IF(A577=入力設定!$B$6*12,P577+AB577+AC577,MIN(Q577,P577+AB577+AC577)))</f>
        <v>0</v>
      </c>
      <c r="S577" s="70">
        <f t="shared" ca="1" si="182"/>
        <v>0</v>
      </c>
      <c r="T577" s="70">
        <f t="shared" ca="1" si="183"/>
        <v>0</v>
      </c>
      <c r="U577" s="70">
        <f t="shared" ca="1" si="184"/>
        <v>0</v>
      </c>
      <c r="V577" s="70">
        <f t="shared" ca="1" si="185"/>
        <v>0</v>
      </c>
      <c r="W577" s="70">
        <f t="shared" ca="1" si="186"/>
        <v>0</v>
      </c>
      <c r="X577" s="70">
        <f t="shared" ca="1" si="187"/>
        <v>0</v>
      </c>
      <c r="Y577" s="71">
        <f t="shared" ca="1" si="188"/>
        <v>0</v>
      </c>
      <c r="Z577" s="71">
        <f t="shared" ca="1" si="196"/>
        <v>0</v>
      </c>
      <c r="AA577" s="71">
        <f t="shared" ca="1" si="189"/>
        <v>0</v>
      </c>
      <c r="AB577" s="71">
        <f t="shared" ca="1" si="190"/>
        <v>0</v>
      </c>
      <c r="AC577" s="71">
        <f t="shared" ca="1" si="197"/>
        <v>0</v>
      </c>
      <c r="AD577" s="71">
        <f t="shared" ca="1" si="191"/>
        <v>0</v>
      </c>
      <c r="AE577" s="72">
        <f t="shared" si="192"/>
        <v>0</v>
      </c>
      <c r="AF577" s="73">
        <f>IF(A577&gt;入力設定!$B$6*12,0,IF(AND(ISNUMBER(C577),C577&gt;=0,C577&lt;=1),0,1))</f>
        <v>0</v>
      </c>
    </row>
    <row r="578" spans="1:32" ht="21" customHeight="1">
      <c r="A578" s="68">
        <f>573</f>
        <v>573</v>
      </c>
      <c r="B578" s="69">
        <f>EDATE(入力設定!$B$7,A578-1)</f>
        <v>63736</v>
      </c>
      <c r="C578" s="80">
        <f>INDEX(入力設定!$C$15:$C$24,INT((A578-1)/60)+1)</f>
        <v>0.05</v>
      </c>
      <c r="D578" s="70">
        <f t="shared" ca="1" si="193"/>
        <v>0</v>
      </c>
      <c r="E578" s="70">
        <f t="shared" ca="1" si="194"/>
        <v>0</v>
      </c>
      <c r="F578" s="70">
        <f ca="1">IF(D578+Z578&lt;0.000001,0,IF(D578&lt;0.000001,F577,IF(OR(AE578=1,AND(K577&gt;0,入力設定!$B$8="返済額軽減型",入力設定!$B$11="翌月")),IF(C578=0,D578/MAX(1,E578),D578*(C578/12)/(1-(1+C578/12)^(-MAX(1,E578)))),F577)))</f>
        <v>0</v>
      </c>
      <c r="G578" s="70">
        <f t="shared" ca="1" si="176"/>
        <v>0</v>
      </c>
      <c r="H578" s="70">
        <f t="shared" ca="1" si="177"/>
        <v>0</v>
      </c>
      <c r="I578" s="70">
        <f t="shared" ca="1" si="178"/>
        <v>0</v>
      </c>
      <c r="J578" s="70">
        <f>SUMIFS(入力設定!$G$5:$G$24,入力設定!$F$5:$F$24,A578)</f>
        <v>0</v>
      </c>
      <c r="K578" s="70">
        <f t="shared" ca="1" si="179"/>
        <v>0</v>
      </c>
      <c r="L578" s="70">
        <f ca="1">IF(K578&gt;0,入力設定!$B$9,0)</f>
        <v>0</v>
      </c>
      <c r="M578" s="70">
        <f t="shared" ca="1" si="180"/>
        <v>0</v>
      </c>
      <c r="N578" s="70">
        <f ca="1">IF(M578+AA578&lt;0.000001,0,IF(AND(K578&gt;0,入力設定!$B$8="期間短縮型",AA578&lt;0.000001,F578&gt;M578*C578/12),MAX(1,MIN(E578-1,IF(C578=0,ROUNDUP(M578/F578,0),ROUNDUP(-LN(1-M578*(C578/12)/F578)/LN(1+C578/12),0)))),MAX(1,E578-1)))</f>
        <v>0</v>
      </c>
      <c r="O578" s="70">
        <f t="shared" ca="1" si="181"/>
        <v>0</v>
      </c>
      <c r="P578" s="70">
        <f t="shared" ca="1" si="195"/>
        <v>0</v>
      </c>
      <c r="Q578" s="70">
        <f ca="1">IF(OR(A578&gt;入力設定!$B$6*12,P578+AC578&lt;0.000001),0,IF(P578&lt;0.000001,Q577,IF(AE578=1,IF(C578=0,P578/MAX(1,入力設定!$B$6*12-A578+1),P578*(C578/12)/(1-(1+C578/12)^(-MAX(1,入力設定!$B$6*12-A578+1)))),Q577)))</f>
        <v>0</v>
      </c>
      <c r="R578" s="70">
        <f ca="1">IF(P578+AC578&lt;0.000001,0,IF(A578=入力設定!$B$6*12,P578+AB578+AC578,MIN(Q578,P578+AB578+AC578)))</f>
        <v>0</v>
      </c>
      <c r="S578" s="70">
        <f t="shared" ca="1" si="182"/>
        <v>0</v>
      </c>
      <c r="T578" s="70">
        <f t="shared" ca="1" si="183"/>
        <v>0</v>
      </c>
      <c r="U578" s="70">
        <f t="shared" ca="1" si="184"/>
        <v>0</v>
      </c>
      <c r="V578" s="70">
        <f t="shared" ca="1" si="185"/>
        <v>0</v>
      </c>
      <c r="W578" s="70">
        <f t="shared" ca="1" si="186"/>
        <v>0</v>
      </c>
      <c r="X578" s="70">
        <f t="shared" ca="1" si="187"/>
        <v>0</v>
      </c>
      <c r="Y578" s="71">
        <f t="shared" ca="1" si="188"/>
        <v>0</v>
      </c>
      <c r="Z578" s="71">
        <f t="shared" ca="1" si="196"/>
        <v>0</v>
      </c>
      <c r="AA578" s="71">
        <f t="shared" ca="1" si="189"/>
        <v>0</v>
      </c>
      <c r="AB578" s="71">
        <f t="shared" ca="1" si="190"/>
        <v>0</v>
      </c>
      <c r="AC578" s="71">
        <f t="shared" ca="1" si="197"/>
        <v>0</v>
      </c>
      <c r="AD578" s="71">
        <f t="shared" ca="1" si="191"/>
        <v>0</v>
      </c>
      <c r="AE578" s="72">
        <f t="shared" si="192"/>
        <v>0</v>
      </c>
      <c r="AF578" s="73">
        <f>IF(A578&gt;入力設定!$B$6*12,0,IF(AND(ISNUMBER(C578),C578&gt;=0,C578&lt;=1),0,1))</f>
        <v>0</v>
      </c>
    </row>
    <row r="579" spans="1:32" ht="21" customHeight="1">
      <c r="A579" s="68">
        <f>574</f>
        <v>574</v>
      </c>
      <c r="B579" s="69">
        <f>EDATE(入力設定!$B$7,A579-1)</f>
        <v>63767</v>
      </c>
      <c r="C579" s="80">
        <f>INDEX(入力設定!$C$15:$C$24,INT((A579-1)/60)+1)</f>
        <v>0.05</v>
      </c>
      <c r="D579" s="70">
        <f t="shared" ca="1" si="193"/>
        <v>0</v>
      </c>
      <c r="E579" s="70">
        <f t="shared" ca="1" si="194"/>
        <v>0</v>
      </c>
      <c r="F579" s="70">
        <f ca="1">IF(D579+Z579&lt;0.000001,0,IF(D579&lt;0.000001,F578,IF(OR(AE579=1,AND(K578&gt;0,入力設定!$B$8="返済額軽減型",入力設定!$B$11="翌月")),IF(C579=0,D579/MAX(1,E579),D579*(C579/12)/(1-(1+C579/12)^(-MAX(1,E579)))),F578)))</f>
        <v>0</v>
      </c>
      <c r="G579" s="70">
        <f t="shared" ca="1" si="176"/>
        <v>0</v>
      </c>
      <c r="H579" s="70">
        <f t="shared" ca="1" si="177"/>
        <v>0</v>
      </c>
      <c r="I579" s="70">
        <f t="shared" ca="1" si="178"/>
        <v>0</v>
      </c>
      <c r="J579" s="70">
        <f>SUMIFS(入力設定!$G$5:$G$24,入力設定!$F$5:$F$24,A579)</f>
        <v>0</v>
      </c>
      <c r="K579" s="70">
        <f t="shared" ca="1" si="179"/>
        <v>0</v>
      </c>
      <c r="L579" s="70">
        <f ca="1">IF(K579&gt;0,入力設定!$B$9,0)</f>
        <v>0</v>
      </c>
      <c r="M579" s="70">
        <f t="shared" ca="1" si="180"/>
        <v>0</v>
      </c>
      <c r="N579" s="70">
        <f ca="1">IF(M579+AA579&lt;0.000001,0,IF(AND(K579&gt;0,入力設定!$B$8="期間短縮型",AA579&lt;0.000001,F579&gt;M579*C579/12),MAX(1,MIN(E579-1,IF(C579=0,ROUNDUP(M579/F579,0),ROUNDUP(-LN(1-M579*(C579/12)/F579)/LN(1+C579/12),0)))),MAX(1,E579-1)))</f>
        <v>0</v>
      </c>
      <c r="O579" s="70">
        <f t="shared" ca="1" si="181"/>
        <v>0</v>
      </c>
      <c r="P579" s="70">
        <f t="shared" ca="1" si="195"/>
        <v>0</v>
      </c>
      <c r="Q579" s="70">
        <f ca="1">IF(OR(A579&gt;入力設定!$B$6*12,P579+AC579&lt;0.000001),0,IF(P579&lt;0.000001,Q578,IF(AE579=1,IF(C579=0,P579/MAX(1,入力設定!$B$6*12-A579+1),P579*(C579/12)/(1-(1+C579/12)^(-MAX(1,入力設定!$B$6*12-A579+1)))),Q578)))</f>
        <v>0</v>
      </c>
      <c r="R579" s="70">
        <f ca="1">IF(P579+AC579&lt;0.000001,0,IF(A579=入力設定!$B$6*12,P579+AB579+AC579,MIN(Q579,P579+AB579+AC579)))</f>
        <v>0</v>
      </c>
      <c r="S579" s="70">
        <f t="shared" ca="1" si="182"/>
        <v>0</v>
      </c>
      <c r="T579" s="70">
        <f t="shared" ca="1" si="183"/>
        <v>0</v>
      </c>
      <c r="U579" s="70">
        <f t="shared" ca="1" si="184"/>
        <v>0</v>
      </c>
      <c r="V579" s="70">
        <f t="shared" ca="1" si="185"/>
        <v>0</v>
      </c>
      <c r="W579" s="70">
        <f t="shared" ca="1" si="186"/>
        <v>0</v>
      </c>
      <c r="X579" s="70">
        <f t="shared" ca="1" si="187"/>
        <v>0</v>
      </c>
      <c r="Y579" s="71">
        <f t="shared" ca="1" si="188"/>
        <v>0</v>
      </c>
      <c r="Z579" s="71">
        <f t="shared" ca="1" si="196"/>
        <v>0</v>
      </c>
      <c r="AA579" s="71">
        <f t="shared" ca="1" si="189"/>
        <v>0</v>
      </c>
      <c r="AB579" s="71">
        <f t="shared" ca="1" si="190"/>
        <v>0</v>
      </c>
      <c r="AC579" s="71">
        <f t="shared" ca="1" si="197"/>
        <v>0</v>
      </c>
      <c r="AD579" s="71">
        <f t="shared" ca="1" si="191"/>
        <v>0</v>
      </c>
      <c r="AE579" s="72">
        <f t="shared" si="192"/>
        <v>0</v>
      </c>
      <c r="AF579" s="73">
        <f>IF(A579&gt;入力設定!$B$6*12,0,IF(AND(ISNUMBER(C579),C579&gt;=0,C579&lt;=1),0,1))</f>
        <v>0</v>
      </c>
    </row>
    <row r="580" spans="1:32" ht="21" customHeight="1">
      <c r="A580" s="68">
        <f>575</f>
        <v>575</v>
      </c>
      <c r="B580" s="69">
        <f>EDATE(入力設定!$B$7,A580-1)</f>
        <v>63798</v>
      </c>
      <c r="C580" s="80">
        <f>INDEX(入力設定!$C$15:$C$24,INT((A580-1)/60)+1)</f>
        <v>0.05</v>
      </c>
      <c r="D580" s="70">
        <f t="shared" ca="1" si="193"/>
        <v>0</v>
      </c>
      <c r="E580" s="70">
        <f t="shared" ca="1" si="194"/>
        <v>0</v>
      </c>
      <c r="F580" s="70">
        <f ca="1">IF(D580+Z580&lt;0.000001,0,IF(D580&lt;0.000001,F579,IF(OR(AE580=1,AND(K579&gt;0,入力設定!$B$8="返済額軽減型",入力設定!$B$11="翌月")),IF(C580=0,D580/MAX(1,E580),D580*(C580/12)/(1-(1+C580/12)^(-MAX(1,E580)))),F579)))</f>
        <v>0</v>
      </c>
      <c r="G580" s="70">
        <f t="shared" ca="1" si="176"/>
        <v>0</v>
      </c>
      <c r="H580" s="70">
        <f t="shared" ca="1" si="177"/>
        <v>0</v>
      </c>
      <c r="I580" s="70">
        <f t="shared" ca="1" si="178"/>
        <v>0</v>
      </c>
      <c r="J580" s="70">
        <f>SUMIFS(入力設定!$G$5:$G$24,入力設定!$F$5:$F$24,A580)</f>
        <v>0</v>
      </c>
      <c r="K580" s="70">
        <f t="shared" ca="1" si="179"/>
        <v>0</v>
      </c>
      <c r="L580" s="70">
        <f ca="1">IF(K580&gt;0,入力設定!$B$9,0)</f>
        <v>0</v>
      </c>
      <c r="M580" s="70">
        <f t="shared" ca="1" si="180"/>
        <v>0</v>
      </c>
      <c r="N580" s="70">
        <f ca="1">IF(M580+AA580&lt;0.000001,0,IF(AND(K580&gt;0,入力設定!$B$8="期間短縮型",AA580&lt;0.000001,F580&gt;M580*C580/12),MAX(1,MIN(E580-1,IF(C580=0,ROUNDUP(M580/F580,0),ROUNDUP(-LN(1-M580*(C580/12)/F580)/LN(1+C580/12),0)))),MAX(1,E580-1)))</f>
        <v>0</v>
      </c>
      <c r="O580" s="70">
        <f t="shared" ca="1" si="181"/>
        <v>0</v>
      </c>
      <c r="P580" s="70">
        <f t="shared" ca="1" si="195"/>
        <v>0</v>
      </c>
      <c r="Q580" s="70">
        <f ca="1">IF(OR(A580&gt;入力設定!$B$6*12,P580+AC580&lt;0.000001),0,IF(P580&lt;0.000001,Q579,IF(AE580=1,IF(C580=0,P580/MAX(1,入力設定!$B$6*12-A580+1),P580*(C580/12)/(1-(1+C580/12)^(-MAX(1,入力設定!$B$6*12-A580+1)))),Q579)))</f>
        <v>0</v>
      </c>
      <c r="R580" s="70">
        <f ca="1">IF(P580+AC580&lt;0.000001,0,IF(A580=入力設定!$B$6*12,P580+AB580+AC580,MIN(Q580,P580+AB580+AC580)))</f>
        <v>0</v>
      </c>
      <c r="S580" s="70">
        <f t="shared" ca="1" si="182"/>
        <v>0</v>
      </c>
      <c r="T580" s="70">
        <f t="shared" ca="1" si="183"/>
        <v>0</v>
      </c>
      <c r="U580" s="70">
        <f t="shared" ca="1" si="184"/>
        <v>0</v>
      </c>
      <c r="V580" s="70">
        <f t="shared" ca="1" si="185"/>
        <v>0</v>
      </c>
      <c r="W580" s="70">
        <f t="shared" ca="1" si="186"/>
        <v>0</v>
      </c>
      <c r="X580" s="70">
        <f t="shared" ca="1" si="187"/>
        <v>0</v>
      </c>
      <c r="Y580" s="71">
        <f t="shared" ca="1" si="188"/>
        <v>0</v>
      </c>
      <c r="Z580" s="71">
        <f t="shared" ca="1" si="196"/>
        <v>0</v>
      </c>
      <c r="AA580" s="71">
        <f t="shared" ca="1" si="189"/>
        <v>0</v>
      </c>
      <c r="AB580" s="71">
        <f t="shared" ca="1" si="190"/>
        <v>0</v>
      </c>
      <c r="AC580" s="71">
        <f t="shared" ca="1" si="197"/>
        <v>0</v>
      </c>
      <c r="AD580" s="71">
        <f t="shared" ca="1" si="191"/>
        <v>0</v>
      </c>
      <c r="AE580" s="72">
        <f t="shared" si="192"/>
        <v>0</v>
      </c>
      <c r="AF580" s="73">
        <f>IF(A580&gt;入力設定!$B$6*12,0,IF(AND(ISNUMBER(C580),C580&gt;=0,C580&lt;=1),0,1))</f>
        <v>0</v>
      </c>
    </row>
    <row r="581" spans="1:32" ht="21" customHeight="1">
      <c r="A581" s="68">
        <f>576</f>
        <v>576</v>
      </c>
      <c r="B581" s="69">
        <f>EDATE(入力設定!$B$7,A581-1)</f>
        <v>63828</v>
      </c>
      <c r="C581" s="80">
        <f>INDEX(入力設定!$C$15:$C$24,INT((A581-1)/60)+1)</f>
        <v>0.05</v>
      </c>
      <c r="D581" s="70">
        <f t="shared" ca="1" si="193"/>
        <v>0</v>
      </c>
      <c r="E581" s="70">
        <f t="shared" ca="1" si="194"/>
        <v>0</v>
      </c>
      <c r="F581" s="70">
        <f ca="1">IF(D581+Z581&lt;0.000001,0,IF(D581&lt;0.000001,F580,IF(OR(AE581=1,AND(K580&gt;0,入力設定!$B$8="返済額軽減型",入力設定!$B$11="翌月")),IF(C581=0,D581/MAX(1,E581),D581*(C581/12)/(1-(1+C581/12)^(-MAX(1,E581)))),F580)))</f>
        <v>0</v>
      </c>
      <c r="G581" s="70">
        <f t="shared" ca="1" si="176"/>
        <v>0</v>
      </c>
      <c r="H581" s="70">
        <f t="shared" ca="1" si="177"/>
        <v>0</v>
      </c>
      <c r="I581" s="70">
        <f t="shared" ca="1" si="178"/>
        <v>0</v>
      </c>
      <c r="J581" s="70">
        <f>SUMIFS(入力設定!$G$5:$G$24,入力設定!$F$5:$F$24,A581)</f>
        <v>0</v>
      </c>
      <c r="K581" s="70">
        <f t="shared" ca="1" si="179"/>
        <v>0</v>
      </c>
      <c r="L581" s="70">
        <f ca="1">IF(K581&gt;0,入力設定!$B$9,0)</f>
        <v>0</v>
      </c>
      <c r="M581" s="70">
        <f t="shared" ca="1" si="180"/>
        <v>0</v>
      </c>
      <c r="N581" s="70">
        <f ca="1">IF(M581+AA581&lt;0.000001,0,IF(AND(K581&gt;0,入力設定!$B$8="期間短縮型",AA581&lt;0.000001,F581&gt;M581*C581/12),MAX(1,MIN(E581-1,IF(C581=0,ROUNDUP(M581/F581,0),ROUNDUP(-LN(1-M581*(C581/12)/F581)/LN(1+C581/12),0)))),MAX(1,E581-1)))</f>
        <v>0</v>
      </c>
      <c r="O581" s="70">
        <f t="shared" ca="1" si="181"/>
        <v>0</v>
      </c>
      <c r="P581" s="70">
        <f t="shared" ca="1" si="195"/>
        <v>0</v>
      </c>
      <c r="Q581" s="70">
        <f ca="1">IF(OR(A581&gt;入力設定!$B$6*12,P581+AC581&lt;0.000001),0,IF(P581&lt;0.000001,Q580,IF(AE581=1,IF(C581=0,P581/MAX(1,入力設定!$B$6*12-A581+1),P581*(C581/12)/(1-(1+C581/12)^(-MAX(1,入力設定!$B$6*12-A581+1)))),Q580)))</f>
        <v>0</v>
      </c>
      <c r="R581" s="70">
        <f ca="1">IF(P581+AC581&lt;0.000001,0,IF(A581=入力設定!$B$6*12,P581+AB581+AC581,MIN(Q581,P581+AB581+AC581)))</f>
        <v>0</v>
      </c>
      <c r="S581" s="70">
        <f t="shared" ca="1" si="182"/>
        <v>0</v>
      </c>
      <c r="T581" s="70">
        <f t="shared" ca="1" si="183"/>
        <v>0</v>
      </c>
      <c r="U581" s="70">
        <f t="shared" ca="1" si="184"/>
        <v>0</v>
      </c>
      <c r="V581" s="70">
        <f t="shared" ca="1" si="185"/>
        <v>0</v>
      </c>
      <c r="W581" s="70">
        <f t="shared" ca="1" si="186"/>
        <v>0</v>
      </c>
      <c r="X581" s="70">
        <f t="shared" ca="1" si="187"/>
        <v>0</v>
      </c>
      <c r="Y581" s="71">
        <f t="shared" ca="1" si="188"/>
        <v>0</v>
      </c>
      <c r="Z581" s="71">
        <f t="shared" ca="1" si="196"/>
        <v>0</v>
      </c>
      <c r="AA581" s="71">
        <f t="shared" ca="1" si="189"/>
        <v>0</v>
      </c>
      <c r="AB581" s="71">
        <f t="shared" ca="1" si="190"/>
        <v>0</v>
      </c>
      <c r="AC581" s="71">
        <f t="shared" ca="1" si="197"/>
        <v>0</v>
      </c>
      <c r="AD581" s="71">
        <f t="shared" ca="1" si="191"/>
        <v>0</v>
      </c>
      <c r="AE581" s="72">
        <f t="shared" si="192"/>
        <v>0</v>
      </c>
      <c r="AF581" s="73">
        <f>IF(A581&gt;入力設定!$B$6*12,0,IF(AND(ISNUMBER(C581),C581&gt;=0,C581&lt;=1),0,1))</f>
        <v>0</v>
      </c>
    </row>
    <row r="582" spans="1:32" ht="21" customHeight="1">
      <c r="A582" s="68">
        <f>577</f>
        <v>577</v>
      </c>
      <c r="B582" s="69">
        <f>EDATE(入力設定!$B$7,A582-1)</f>
        <v>63859</v>
      </c>
      <c r="C582" s="80">
        <f>INDEX(入力設定!$C$15:$C$24,INT((A582-1)/60)+1)</f>
        <v>0.05</v>
      </c>
      <c r="D582" s="70">
        <f t="shared" ca="1" si="193"/>
        <v>0</v>
      </c>
      <c r="E582" s="70">
        <f t="shared" ca="1" si="194"/>
        <v>0</v>
      </c>
      <c r="F582" s="70">
        <f ca="1">IF(D582+Z582&lt;0.000001,0,IF(D582&lt;0.000001,F581,IF(OR(AE582=1,AND(K581&gt;0,入力設定!$B$8="返済額軽減型",入力設定!$B$11="翌月")),IF(C582=0,D582/MAX(1,E582),D582*(C582/12)/(1-(1+C582/12)^(-MAX(1,E582)))),F581)))</f>
        <v>0</v>
      </c>
      <c r="G582" s="70">
        <f t="shared" ref="G582:G605" ca="1" si="198">IF(D582+Z582&lt;0.000001,0,IF(E582&lt;=1,D582+Y582+Z582,MIN(D582+Y582+Z582,F582)))</f>
        <v>0</v>
      </c>
      <c r="H582" s="70">
        <f t="shared" ref="H582:H605" ca="1" si="199">MIN(G582,Y582+Z582)</f>
        <v>0</v>
      </c>
      <c r="I582" s="70">
        <f t="shared" ref="I582:I605" ca="1" si="200">G582-H582</f>
        <v>0</v>
      </c>
      <c r="J582" s="70">
        <f>SUMIFS(入力設定!$G$5:$G$24,入力設定!$F$5:$F$24,A582)</f>
        <v>0</v>
      </c>
      <c r="K582" s="70">
        <f t="shared" ref="K582:K605" ca="1" si="201">MIN(MAX(0,D582-I582),J582)</f>
        <v>0</v>
      </c>
      <c r="L582" s="70">
        <f ca="1">IF(K582&gt;0,入力設定!$B$9,0)</f>
        <v>0</v>
      </c>
      <c r="M582" s="70">
        <f t="shared" ref="M582:M605" ca="1" si="202">MAX(0,D582-I582-K582)</f>
        <v>0</v>
      </c>
      <c r="N582" s="70">
        <f ca="1">IF(M582+AA582&lt;0.000001,0,IF(AND(K582&gt;0,入力設定!$B$8="期間短縮型",AA582&lt;0.000001,F582&gt;M582*C582/12),MAX(1,MIN(E582-1,IF(C582=0,ROUNDUP(M582/F582,0),ROUNDUP(-LN(1-M582*(C582/12)/F582)/LN(1+C582/12),0)))),MAX(1,E582-1)))</f>
        <v>0</v>
      </c>
      <c r="O582" s="70">
        <f t="shared" ref="O582:O605" ca="1" si="203">SUM(G582,K582,L582)</f>
        <v>0</v>
      </c>
      <c r="P582" s="70">
        <f t="shared" ca="1" si="195"/>
        <v>0</v>
      </c>
      <c r="Q582" s="70">
        <f ca="1">IF(OR(A582&gt;入力設定!$B$6*12,P582+AC582&lt;0.000001),0,IF(P582&lt;0.000001,Q581,IF(AE582=1,IF(C582=0,P582/MAX(1,入力設定!$B$6*12-A582+1),P582*(C582/12)/(1-(1+C582/12)^(-MAX(1,入力設定!$B$6*12-A582+1)))),Q581)))</f>
        <v>0</v>
      </c>
      <c r="R582" s="70">
        <f ca="1">IF(P582+AC582&lt;0.000001,0,IF(A582=入力設定!$B$6*12,P582+AB582+AC582,MIN(Q582,P582+AB582+AC582)))</f>
        <v>0</v>
      </c>
      <c r="S582" s="70">
        <f t="shared" ref="S582:S605" ca="1" si="204">MIN(R582,AB582+AC582)</f>
        <v>0</v>
      </c>
      <c r="T582" s="70">
        <f t="shared" ref="T582:T605" ca="1" si="205">R582-S582</f>
        <v>0</v>
      </c>
      <c r="U582" s="70">
        <f t="shared" ref="U582:U605" ca="1" si="206">MAX(0,P582-T582)</f>
        <v>0</v>
      </c>
      <c r="V582" s="70">
        <f t="shared" ref="V582:V605" ca="1" si="207">D582-I582-K582-M582</f>
        <v>0</v>
      </c>
      <c r="W582" s="70">
        <f t="shared" ref="W582:W605" ca="1" si="208">P582-T582-U582</f>
        <v>0</v>
      </c>
      <c r="X582" s="70">
        <f t="shared" ref="X582:X605" ca="1" si="209">O582-G582-K582-L582</f>
        <v>0</v>
      </c>
      <c r="Y582" s="71">
        <f t="shared" ref="Y582:Y605" ca="1" si="210">D582*C582/12</f>
        <v>0</v>
      </c>
      <c r="Z582" s="71">
        <f t="shared" ca="1" si="196"/>
        <v>0</v>
      </c>
      <c r="AA582" s="71">
        <f t="shared" ref="AA582:AA605" ca="1" si="211">MAX(0,Z582+Y582-H582)</f>
        <v>0</v>
      </c>
      <c r="AB582" s="71">
        <f t="shared" ref="AB582:AB605" ca="1" si="212">P582*C582/12</f>
        <v>0</v>
      </c>
      <c r="AC582" s="71">
        <f t="shared" ca="1" si="197"/>
        <v>0</v>
      </c>
      <c r="AD582" s="71">
        <f t="shared" ref="AD582:AD605" ca="1" si="213">MAX(0,AC582+AB582-S582)</f>
        <v>0</v>
      </c>
      <c r="AE582" s="72">
        <f t="shared" ref="AE582:AE605" si="214">IF(MOD(A582-1,60)=0,1,0)</f>
        <v>0</v>
      </c>
      <c r="AF582" s="73">
        <f>IF(A582&gt;入力設定!$B$6*12,0,IF(AND(ISNUMBER(C582),C582&gt;=0,C582&lt;=1),0,1))</f>
        <v>0</v>
      </c>
    </row>
    <row r="583" spans="1:32" ht="21" customHeight="1">
      <c r="A583" s="68">
        <f>578</f>
        <v>578</v>
      </c>
      <c r="B583" s="69">
        <f>EDATE(入力設定!$B$7,A583-1)</f>
        <v>63889</v>
      </c>
      <c r="C583" s="80">
        <f>INDEX(入力設定!$C$15:$C$24,INT((A583-1)/60)+1)</f>
        <v>0.05</v>
      </c>
      <c r="D583" s="70">
        <f t="shared" ref="D583:D605" ca="1" si="215">M582</f>
        <v>0</v>
      </c>
      <c r="E583" s="70">
        <f t="shared" ref="E583:E605" ca="1" si="216">N582</f>
        <v>0</v>
      </c>
      <c r="F583" s="70">
        <f ca="1">IF(D583+Z583&lt;0.000001,0,IF(D583&lt;0.000001,F582,IF(OR(AE583=1,AND(K582&gt;0,入力設定!$B$8="返済額軽減型",入力設定!$B$11="翌月")),IF(C583=0,D583/MAX(1,E583),D583*(C583/12)/(1-(1+C583/12)^(-MAX(1,E583)))),F582)))</f>
        <v>0</v>
      </c>
      <c r="G583" s="70">
        <f t="shared" ca="1" si="198"/>
        <v>0</v>
      </c>
      <c r="H583" s="70">
        <f t="shared" ca="1" si="199"/>
        <v>0</v>
      </c>
      <c r="I583" s="70">
        <f t="shared" ca="1" si="200"/>
        <v>0</v>
      </c>
      <c r="J583" s="70">
        <f>SUMIFS(入力設定!$G$5:$G$24,入力設定!$F$5:$F$24,A583)</f>
        <v>0</v>
      </c>
      <c r="K583" s="70">
        <f t="shared" ca="1" si="201"/>
        <v>0</v>
      </c>
      <c r="L583" s="70">
        <f ca="1">IF(K583&gt;0,入力設定!$B$9,0)</f>
        <v>0</v>
      </c>
      <c r="M583" s="70">
        <f t="shared" ca="1" si="202"/>
        <v>0</v>
      </c>
      <c r="N583" s="70">
        <f ca="1">IF(M583+AA583&lt;0.000001,0,IF(AND(K583&gt;0,入力設定!$B$8="期間短縮型",AA583&lt;0.000001,F583&gt;M583*C583/12),MAX(1,MIN(E583-1,IF(C583=0,ROUNDUP(M583/F583,0),ROUNDUP(-LN(1-M583*(C583/12)/F583)/LN(1+C583/12),0)))),MAX(1,E583-1)))</f>
        <v>0</v>
      </c>
      <c r="O583" s="70">
        <f t="shared" ca="1" si="203"/>
        <v>0</v>
      </c>
      <c r="P583" s="70">
        <f t="shared" ref="P583:P605" ca="1" si="217">U582</f>
        <v>0</v>
      </c>
      <c r="Q583" s="70">
        <f ca="1">IF(OR(A583&gt;入力設定!$B$6*12,P583+AC583&lt;0.000001),0,IF(P583&lt;0.000001,Q582,IF(AE583=1,IF(C583=0,P583/MAX(1,入力設定!$B$6*12-A583+1),P583*(C583/12)/(1-(1+C583/12)^(-MAX(1,入力設定!$B$6*12-A583+1)))),Q582)))</f>
        <v>0</v>
      </c>
      <c r="R583" s="70">
        <f ca="1">IF(P583+AC583&lt;0.000001,0,IF(A583=入力設定!$B$6*12,P583+AB583+AC583,MIN(Q583,P583+AB583+AC583)))</f>
        <v>0</v>
      </c>
      <c r="S583" s="70">
        <f t="shared" ca="1" si="204"/>
        <v>0</v>
      </c>
      <c r="T583" s="70">
        <f t="shared" ca="1" si="205"/>
        <v>0</v>
      </c>
      <c r="U583" s="70">
        <f t="shared" ca="1" si="206"/>
        <v>0</v>
      </c>
      <c r="V583" s="70">
        <f t="shared" ca="1" si="207"/>
        <v>0</v>
      </c>
      <c r="W583" s="70">
        <f t="shared" ca="1" si="208"/>
        <v>0</v>
      </c>
      <c r="X583" s="70">
        <f t="shared" ca="1" si="209"/>
        <v>0</v>
      </c>
      <c r="Y583" s="71">
        <f t="shared" ca="1" si="210"/>
        <v>0</v>
      </c>
      <c r="Z583" s="71">
        <f t="shared" ref="Z583:Z605" ca="1" si="218">AA582</f>
        <v>0</v>
      </c>
      <c r="AA583" s="71">
        <f t="shared" ca="1" si="211"/>
        <v>0</v>
      </c>
      <c r="AB583" s="71">
        <f t="shared" ca="1" si="212"/>
        <v>0</v>
      </c>
      <c r="AC583" s="71">
        <f t="shared" ref="AC583:AC605" ca="1" si="219">AD582</f>
        <v>0</v>
      </c>
      <c r="AD583" s="71">
        <f t="shared" ca="1" si="213"/>
        <v>0</v>
      </c>
      <c r="AE583" s="72">
        <f t="shared" si="214"/>
        <v>0</v>
      </c>
      <c r="AF583" s="73">
        <f>IF(A583&gt;入力設定!$B$6*12,0,IF(AND(ISNUMBER(C583),C583&gt;=0,C583&lt;=1),0,1))</f>
        <v>0</v>
      </c>
    </row>
    <row r="584" spans="1:32" ht="21" customHeight="1">
      <c r="A584" s="68">
        <f>579</f>
        <v>579</v>
      </c>
      <c r="B584" s="69">
        <f>EDATE(入力設定!$B$7,A584-1)</f>
        <v>63920</v>
      </c>
      <c r="C584" s="80">
        <f>INDEX(入力設定!$C$15:$C$24,INT((A584-1)/60)+1)</f>
        <v>0.05</v>
      </c>
      <c r="D584" s="70">
        <f t="shared" ca="1" si="215"/>
        <v>0</v>
      </c>
      <c r="E584" s="70">
        <f t="shared" ca="1" si="216"/>
        <v>0</v>
      </c>
      <c r="F584" s="70">
        <f ca="1">IF(D584+Z584&lt;0.000001,0,IF(D584&lt;0.000001,F583,IF(OR(AE584=1,AND(K583&gt;0,入力設定!$B$8="返済額軽減型",入力設定!$B$11="翌月")),IF(C584=0,D584/MAX(1,E584),D584*(C584/12)/(1-(1+C584/12)^(-MAX(1,E584)))),F583)))</f>
        <v>0</v>
      </c>
      <c r="G584" s="70">
        <f t="shared" ca="1" si="198"/>
        <v>0</v>
      </c>
      <c r="H584" s="70">
        <f t="shared" ca="1" si="199"/>
        <v>0</v>
      </c>
      <c r="I584" s="70">
        <f t="shared" ca="1" si="200"/>
        <v>0</v>
      </c>
      <c r="J584" s="70">
        <f>SUMIFS(入力設定!$G$5:$G$24,入力設定!$F$5:$F$24,A584)</f>
        <v>0</v>
      </c>
      <c r="K584" s="70">
        <f t="shared" ca="1" si="201"/>
        <v>0</v>
      </c>
      <c r="L584" s="70">
        <f ca="1">IF(K584&gt;0,入力設定!$B$9,0)</f>
        <v>0</v>
      </c>
      <c r="M584" s="70">
        <f t="shared" ca="1" si="202"/>
        <v>0</v>
      </c>
      <c r="N584" s="70">
        <f ca="1">IF(M584+AA584&lt;0.000001,0,IF(AND(K584&gt;0,入力設定!$B$8="期間短縮型",AA584&lt;0.000001,F584&gt;M584*C584/12),MAX(1,MIN(E584-1,IF(C584=0,ROUNDUP(M584/F584,0),ROUNDUP(-LN(1-M584*(C584/12)/F584)/LN(1+C584/12),0)))),MAX(1,E584-1)))</f>
        <v>0</v>
      </c>
      <c r="O584" s="70">
        <f t="shared" ca="1" si="203"/>
        <v>0</v>
      </c>
      <c r="P584" s="70">
        <f t="shared" ca="1" si="217"/>
        <v>0</v>
      </c>
      <c r="Q584" s="70">
        <f ca="1">IF(OR(A584&gt;入力設定!$B$6*12,P584+AC584&lt;0.000001),0,IF(P584&lt;0.000001,Q583,IF(AE584=1,IF(C584=0,P584/MAX(1,入力設定!$B$6*12-A584+1),P584*(C584/12)/(1-(1+C584/12)^(-MAX(1,入力設定!$B$6*12-A584+1)))),Q583)))</f>
        <v>0</v>
      </c>
      <c r="R584" s="70">
        <f ca="1">IF(P584+AC584&lt;0.000001,0,IF(A584=入力設定!$B$6*12,P584+AB584+AC584,MIN(Q584,P584+AB584+AC584)))</f>
        <v>0</v>
      </c>
      <c r="S584" s="70">
        <f t="shared" ca="1" si="204"/>
        <v>0</v>
      </c>
      <c r="T584" s="70">
        <f t="shared" ca="1" si="205"/>
        <v>0</v>
      </c>
      <c r="U584" s="70">
        <f t="shared" ca="1" si="206"/>
        <v>0</v>
      </c>
      <c r="V584" s="70">
        <f t="shared" ca="1" si="207"/>
        <v>0</v>
      </c>
      <c r="W584" s="70">
        <f t="shared" ca="1" si="208"/>
        <v>0</v>
      </c>
      <c r="X584" s="70">
        <f t="shared" ca="1" si="209"/>
        <v>0</v>
      </c>
      <c r="Y584" s="71">
        <f t="shared" ca="1" si="210"/>
        <v>0</v>
      </c>
      <c r="Z584" s="71">
        <f t="shared" ca="1" si="218"/>
        <v>0</v>
      </c>
      <c r="AA584" s="71">
        <f t="shared" ca="1" si="211"/>
        <v>0</v>
      </c>
      <c r="AB584" s="71">
        <f t="shared" ca="1" si="212"/>
        <v>0</v>
      </c>
      <c r="AC584" s="71">
        <f t="shared" ca="1" si="219"/>
        <v>0</v>
      </c>
      <c r="AD584" s="71">
        <f t="shared" ca="1" si="213"/>
        <v>0</v>
      </c>
      <c r="AE584" s="72">
        <f t="shared" si="214"/>
        <v>0</v>
      </c>
      <c r="AF584" s="73">
        <f>IF(A584&gt;入力設定!$B$6*12,0,IF(AND(ISNUMBER(C584),C584&gt;=0,C584&lt;=1),0,1))</f>
        <v>0</v>
      </c>
    </row>
    <row r="585" spans="1:32" ht="21" customHeight="1">
      <c r="A585" s="68">
        <f>580</f>
        <v>580</v>
      </c>
      <c r="B585" s="69">
        <f>EDATE(入力設定!$B$7,A585-1)</f>
        <v>63951</v>
      </c>
      <c r="C585" s="80">
        <f>INDEX(入力設定!$C$15:$C$24,INT((A585-1)/60)+1)</f>
        <v>0.05</v>
      </c>
      <c r="D585" s="70">
        <f t="shared" ca="1" si="215"/>
        <v>0</v>
      </c>
      <c r="E585" s="70">
        <f t="shared" ca="1" si="216"/>
        <v>0</v>
      </c>
      <c r="F585" s="70">
        <f ca="1">IF(D585+Z585&lt;0.000001,0,IF(D585&lt;0.000001,F584,IF(OR(AE585=1,AND(K584&gt;0,入力設定!$B$8="返済額軽減型",入力設定!$B$11="翌月")),IF(C585=0,D585/MAX(1,E585),D585*(C585/12)/(1-(1+C585/12)^(-MAX(1,E585)))),F584)))</f>
        <v>0</v>
      </c>
      <c r="G585" s="70">
        <f t="shared" ca="1" si="198"/>
        <v>0</v>
      </c>
      <c r="H585" s="70">
        <f t="shared" ca="1" si="199"/>
        <v>0</v>
      </c>
      <c r="I585" s="70">
        <f t="shared" ca="1" si="200"/>
        <v>0</v>
      </c>
      <c r="J585" s="70">
        <f>SUMIFS(入力設定!$G$5:$G$24,入力設定!$F$5:$F$24,A585)</f>
        <v>0</v>
      </c>
      <c r="K585" s="70">
        <f t="shared" ca="1" si="201"/>
        <v>0</v>
      </c>
      <c r="L585" s="70">
        <f ca="1">IF(K585&gt;0,入力設定!$B$9,0)</f>
        <v>0</v>
      </c>
      <c r="M585" s="70">
        <f t="shared" ca="1" si="202"/>
        <v>0</v>
      </c>
      <c r="N585" s="70">
        <f ca="1">IF(M585+AA585&lt;0.000001,0,IF(AND(K585&gt;0,入力設定!$B$8="期間短縮型",AA585&lt;0.000001,F585&gt;M585*C585/12),MAX(1,MIN(E585-1,IF(C585=0,ROUNDUP(M585/F585,0),ROUNDUP(-LN(1-M585*(C585/12)/F585)/LN(1+C585/12),0)))),MAX(1,E585-1)))</f>
        <v>0</v>
      </c>
      <c r="O585" s="70">
        <f t="shared" ca="1" si="203"/>
        <v>0</v>
      </c>
      <c r="P585" s="70">
        <f t="shared" ca="1" si="217"/>
        <v>0</v>
      </c>
      <c r="Q585" s="70">
        <f ca="1">IF(OR(A585&gt;入力設定!$B$6*12,P585+AC585&lt;0.000001),0,IF(P585&lt;0.000001,Q584,IF(AE585=1,IF(C585=0,P585/MAX(1,入力設定!$B$6*12-A585+1),P585*(C585/12)/(1-(1+C585/12)^(-MAX(1,入力設定!$B$6*12-A585+1)))),Q584)))</f>
        <v>0</v>
      </c>
      <c r="R585" s="70">
        <f ca="1">IF(P585+AC585&lt;0.000001,0,IF(A585=入力設定!$B$6*12,P585+AB585+AC585,MIN(Q585,P585+AB585+AC585)))</f>
        <v>0</v>
      </c>
      <c r="S585" s="70">
        <f t="shared" ca="1" si="204"/>
        <v>0</v>
      </c>
      <c r="T585" s="70">
        <f t="shared" ca="1" si="205"/>
        <v>0</v>
      </c>
      <c r="U585" s="70">
        <f t="shared" ca="1" si="206"/>
        <v>0</v>
      </c>
      <c r="V585" s="70">
        <f t="shared" ca="1" si="207"/>
        <v>0</v>
      </c>
      <c r="W585" s="70">
        <f t="shared" ca="1" si="208"/>
        <v>0</v>
      </c>
      <c r="X585" s="70">
        <f t="shared" ca="1" si="209"/>
        <v>0</v>
      </c>
      <c r="Y585" s="71">
        <f t="shared" ca="1" si="210"/>
        <v>0</v>
      </c>
      <c r="Z585" s="71">
        <f t="shared" ca="1" si="218"/>
        <v>0</v>
      </c>
      <c r="AA585" s="71">
        <f t="shared" ca="1" si="211"/>
        <v>0</v>
      </c>
      <c r="AB585" s="71">
        <f t="shared" ca="1" si="212"/>
        <v>0</v>
      </c>
      <c r="AC585" s="71">
        <f t="shared" ca="1" si="219"/>
        <v>0</v>
      </c>
      <c r="AD585" s="71">
        <f t="shared" ca="1" si="213"/>
        <v>0</v>
      </c>
      <c r="AE585" s="72">
        <f t="shared" si="214"/>
        <v>0</v>
      </c>
      <c r="AF585" s="73">
        <f>IF(A585&gt;入力設定!$B$6*12,0,IF(AND(ISNUMBER(C585),C585&gt;=0,C585&lt;=1),0,1))</f>
        <v>0</v>
      </c>
    </row>
    <row r="586" spans="1:32" ht="21" customHeight="1">
      <c r="A586" s="68">
        <f>581</f>
        <v>581</v>
      </c>
      <c r="B586" s="69">
        <f>EDATE(入力設定!$B$7,A586-1)</f>
        <v>63979</v>
      </c>
      <c r="C586" s="80">
        <f>INDEX(入力設定!$C$15:$C$24,INT((A586-1)/60)+1)</f>
        <v>0.05</v>
      </c>
      <c r="D586" s="70">
        <f t="shared" ca="1" si="215"/>
        <v>0</v>
      </c>
      <c r="E586" s="70">
        <f t="shared" ca="1" si="216"/>
        <v>0</v>
      </c>
      <c r="F586" s="70">
        <f ca="1">IF(D586+Z586&lt;0.000001,0,IF(D586&lt;0.000001,F585,IF(OR(AE586=1,AND(K585&gt;0,入力設定!$B$8="返済額軽減型",入力設定!$B$11="翌月")),IF(C586=0,D586/MAX(1,E586),D586*(C586/12)/(1-(1+C586/12)^(-MAX(1,E586)))),F585)))</f>
        <v>0</v>
      </c>
      <c r="G586" s="70">
        <f t="shared" ca="1" si="198"/>
        <v>0</v>
      </c>
      <c r="H586" s="70">
        <f t="shared" ca="1" si="199"/>
        <v>0</v>
      </c>
      <c r="I586" s="70">
        <f t="shared" ca="1" si="200"/>
        <v>0</v>
      </c>
      <c r="J586" s="70">
        <f>SUMIFS(入力設定!$G$5:$G$24,入力設定!$F$5:$F$24,A586)</f>
        <v>0</v>
      </c>
      <c r="K586" s="70">
        <f t="shared" ca="1" si="201"/>
        <v>0</v>
      </c>
      <c r="L586" s="70">
        <f ca="1">IF(K586&gt;0,入力設定!$B$9,0)</f>
        <v>0</v>
      </c>
      <c r="M586" s="70">
        <f t="shared" ca="1" si="202"/>
        <v>0</v>
      </c>
      <c r="N586" s="70">
        <f ca="1">IF(M586+AA586&lt;0.000001,0,IF(AND(K586&gt;0,入力設定!$B$8="期間短縮型",AA586&lt;0.000001,F586&gt;M586*C586/12),MAX(1,MIN(E586-1,IF(C586=0,ROUNDUP(M586/F586,0),ROUNDUP(-LN(1-M586*(C586/12)/F586)/LN(1+C586/12),0)))),MAX(1,E586-1)))</f>
        <v>0</v>
      </c>
      <c r="O586" s="70">
        <f t="shared" ca="1" si="203"/>
        <v>0</v>
      </c>
      <c r="P586" s="70">
        <f t="shared" ca="1" si="217"/>
        <v>0</v>
      </c>
      <c r="Q586" s="70">
        <f ca="1">IF(OR(A586&gt;入力設定!$B$6*12,P586+AC586&lt;0.000001),0,IF(P586&lt;0.000001,Q585,IF(AE586=1,IF(C586=0,P586/MAX(1,入力設定!$B$6*12-A586+1),P586*(C586/12)/(1-(1+C586/12)^(-MAX(1,入力設定!$B$6*12-A586+1)))),Q585)))</f>
        <v>0</v>
      </c>
      <c r="R586" s="70">
        <f ca="1">IF(P586+AC586&lt;0.000001,0,IF(A586=入力設定!$B$6*12,P586+AB586+AC586,MIN(Q586,P586+AB586+AC586)))</f>
        <v>0</v>
      </c>
      <c r="S586" s="70">
        <f t="shared" ca="1" si="204"/>
        <v>0</v>
      </c>
      <c r="T586" s="70">
        <f t="shared" ca="1" si="205"/>
        <v>0</v>
      </c>
      <c r="U586" s="70">
        <f t="shared" ca="1" si="206"/>
        <v>0</v>
      </c>
      <c r="V586" s="70">
        <f t="shared" ca="1" si="207"/>
        <v>0</v>
      </c>
      <c r="W586" s="70">
        <f t="shared" ca="1" si="208"/>
        <v>0</v>
      </c>
      <c r="X586" s="70">
        <f t="shared" ca="1" si="209"/>
        <v>0</v>
      </c>
      <c r="Y586" s="71">
        <f t="shared" ca="1" si="210"/>
        <v>0</v>
      </c>
      <c r="Z586" s="71">
        <f t="shared" ca="1" si="218"/>
        <v>0</v>
      </c>
      <c r="AA586" s="71">
        <f t="shared" ca="1" si="211"/>
        <v>0</v>
      </c>
      <c r="AB586" s="71">
        <f t="shared" ca="1" si="212"/>
        <v>0</v>
      </c>
      <c r="AC586" s="71">
        <f t="shared" ca="1" si="219"/>
        <v>0</v>
      </c>
      <c r="AD586" s="71">
        <f t="shared" ca="1" si="213"/>
        <v>0</v>
      </c>
      <c r="AE586" s="72">
        <f t="shared" si="214"/>
        <v>0</v>
      </c>
      <c r="AF586" s="73">
        <f>IF(A586&gt;入力設定!$B$6*12,0,IF(AND(ISNUMBER(C586),C586&gt;=0,C586&lt;=1),0,1))</f>
        <v>0</v>
      </c>
    </row>
    <row r="587" spans="1:32" ht="21" customHeight="1">
      <c r="A587" s="68">
        <f>582</f>
        <v>582</v>
      </c>
      <c r="B587" s="69">
        <f>EDATE(入力設定!$B$7,A587-1)</f>
        <v>64010</v>
      </c>
      <c r="C587" s="80">
        <f>INDEX(入力設定!$C$15:$C$24,INT((A587-1)/60)+1)</f>
        <v>0.05</v>
      </c>
      <c r="D587" s="70">
        <f t="shared" ca="1" si="215"/>
        <v>0</v>
      </c>
      <c r="E587" s="70">
        <f t="shared" ca="1" si="216"/>
        <v>0</v>
      </c>
      <c r="F587" s="70">
        <f ca="1">IF(D587+Z587&lt;0.000001,0,IF(D587&lt;0.000001,F586,IF(OR(AE587=1,AND(K586&gt;0,入力設定!$B$8="返済額軽減型",入力設定!$B$11="翌月")),IF(C587=0,D587/MAX(1,E587),D587*(C587/12)/(1-(1+C587/12)^(-MAX(1,E587)))),F586)))</f>
        <v>0</v>
      </c>
      <c r="G587" s="70">
        <f t="shared" ca="1" si="198"/>
        <v>0</v>
      </c>
      <c r="H587" s="70">
        <f t="shared" ca="1" si="199"/>
        <v>0</v>
      </c>
      <c r="I587" s="70">
        <f t="shared" ca="1" si="200"/>
        <v>0</v>
      </c>
      <c r="J587" s="70">
        <f>SUMIFS(入力設定!$G$5:$G$24,入力設定!$F$5:$F$24,A587)</f>
        <v>0</v>
      </c>
      <c r="K587" s="70">
        <f t="shared" ca="1" si="201"/>
        <v>0</v>
      </c>
      <c r="L587" s="70">
        <f ca="1">IF(K587&gt;0,入力設定!$B$9,0)</f>
        <v>0</v>
      </c>
      <c r="M587" s="70">
        <f t="shared" ca="1" si="202"/>
        <v>0</v>
      </c>
      <c r="N587" s="70">
        <f ca="1">IF(M587+AA587&lt;0.000001,0,IF(AND(K587&gt;0,入力設定!$B$8="期間短縮型",AA587&lt;0.000001,F587&gt;M587*C587/12),MAX(1,MIN(E587-1,IF(C587=0,ROUNDUP(M587/F587,0),ROUNDUP(-LN(1-M587*(C587/12)/F587)/LN(1+C587/12),0)))),MAX(1,E587-1)))</f>
        <v>0</v>
      </c>
      <c r="O587" s="70">
        <f t="shared" ca="1" si="203"/>
        <v>0</v>
      </c>
      <c r="P587" s="70">
        <f t="shared" ca="1" si="217"/>
        <v>0</v>
      </c>
      <c r="Q587" s="70">
        <f ca="1">IF(OR(A587&gt;入力設定!$B$6*12,P587+AC587&lt;0.000001),0,IF(P587&lt;0.000001,Q586,IF(AE587=1,IF(C587=0,P587/MAX(1,入力設定!$B$6*12-A587+1),P587*(C587/12)/(1-(1+C587/12)^(-MAX(1,入力設定!$B$6*12-A587+1)))),Q586)))</f>
        <v>0</v>
      </c>
      <c r="R587" s="70">
        <f ca="1">IF(P587+AC587&lt;0.000001,0,IF(A587=入力設定!$B$6*12,P587+AB587+AC587,MIN(Q587,P587+AB587+AC587)))</f>
        <v>0</v>
      </c>
      <c r="S587" s="70">
        <f t="shared" ca="1" si="204"/>
        <v>0</v>
      </c>
      <c r="T587" s="70">
        <f t="shared" ca="1" si="205"/>
        <v>0</v>
      </c>
      <c r="U587" s="70">
        <f t="shared" ca="1" si="206"/>
        <v>0</v>
      </c>
      <c r="V587" s="70">
        <f t="shared" ca="1" si="207"/>
        <v>0</v>
      </c>
      <c r="W587" s="70">
        <f t="shared" ca="1" si="208"/>
        <v>0</v>
      </c>
      <c r="X587" s="70">
        <f t="shared" ca="1" si="209"/>
        <v>0</v>
      </c>
      <c r="Y587" s="71">
        <f t="shared" ca="1" si="210"/>
        <v>0</v>
      </c>
      <c r="Z587" s="71">
        <f t="shared" ca="1" si="218"/>
        <v>0</v>
      </c>
      <c r="AA587" s="71">
        <f t="shared" ca="1" si="211"/>
        <v>0</v>
      </c>
      <c r="AB587" s="71">
        <f t="shared" ca="1" si="212"/>
        <v>0</v>
      </c>
      <c r="AC587" s="71">
        <f t="shared" ca="1" si="219"/>
        <v>0</v>
      </c>
      <c r="AD587" s="71">
        <f t="shared" ca="1" si="213"/>
        <v>0</v>
      </c>
      <c r="AE587" s="72">
        <f t="shared" si="214"/>
        <v>0</v>
      </c>
      <c r="AF587" s="73">
        <f>IF(A587&gt;入力設定!$B$6*12,0,IF(AND(ISNUMBER(C587),C587&gt;=0,C587&lt;=1),0,1))</f>
        <v>0</v>
      </c>
    </row>
    <row r="588" spans="1:32" ht="21" customHeight="1">
      <c r="A588" s="68">
        <f>583</f>
        <v>583</v>
      </c>
      <c r="B588" s="69">
        <f>EDATE(入力設定!$B$7,A588-1)</f>
        <v>64040</v>
      </c>
      <c r="C588" s="80">
        <f>INDEX(入力設定!$C$15:$C$24,INT((A588-1)/60)+1)</f>
        <v>0.05</v>
      </c>
      <c r="D588" s="70">
        <f t="shared" ca="1" si="215"/>
        <v>0</v>
      </c>
      <c r="E588" s="70">
        <f t="shared" ca="1" si="216"/>
        <v>0</v>
      </c>
      <c r="F588" s="70">
        <f ca="1">IF(D588+Z588&lt;0.000001,0,IF(D588&lt;0.000001,F587,IF(OR(AE588=1,AND(K587&gt;0,入力設定!$B$8="返済額軽減型",入力設定!$B$11="翌月")),IF(C588=0,D588/MAX(1,E588),D588*(C588/12)/(1-(1+C588/12)^(-MAX(1,E588)))),F587)))</f>
        <v>0</v>
      </c>
      <c r="G588" s="70">
        <f t="shared" ca="1" si="198"/>
        <v>0</v>
      </c>
      <c r="H588" s="70">
        <f t="shared" ca="1" si="199"/>
        <v>0</v>
      </c>
      <c r="I588" s="70">
        <f t="shared" ca="1" si="200"/>
        <v>0</v>
      </c>
      <c r="J588" s="70">
        <f>SUMIFS(入力設定!$G$5:$G$24,入力設定!$F$5:$F$24,A588)</f>
        <v>0</v>
      </c>
      <c r="K588" s="70">
        <f t="shared" ca="1" si="201"/>
        <v>0</v>
      </c>
      <c r="L588" s="70">
        <f ca="1">IF(K588&gt;0,入力設定!$B$9,0)</f>
        <v>0</v>
      </c>
      <c r="M588" s="70">
        <f t="shared" ca="1" si="202"/>
        <v>0</v>
      </c>
      <c r="N588" s="70">
        <f ca="1">IF(M588+AA588&lt;0.000001,0,IF(AND(K588&gt;0,入力設定!$B$8="期間短縮型",AA588&lt;0.000001,F588&gt;M588*C588/12),MAX(1,MIN(E588-1,IF(C588=0,ROUNDUP(M588/F588,0),ROUNDUP(-LN(1-M588*(C588/12)/F588)/LN(1+C588/12),0)))),MAX(1,E588-1)))</f>
        <v>0</v>
      </c>
      <c r="O588" s="70">
        <f t="shared" ca="1" si="203"/>
        <v>0</v>
      </c>
      <c r="P588" s="70">
        <f t="shared" ca="1" si="217"/>
        <v>0</v>
      </c>
      <c r="Q588" s="70">
        <f ca="1">IF(OR(A588&gt;入力設定!$B$6*12,P588+AC588&lt;0.000001),0,IF(P588&lt;0.000001,Q587,IF(AE588=1,IF(C588=0,P588/MAX(1,入力設定!$B$6*12-A588+1),P588*(C588/12)/(1-(1+C588/12)^(-MAX(1,入力設定!$B$6*12-A588+1)))),Q587)))</f>
        <v>0</v>
      </c>
      <c r="R588" s="70">
        <f ca="1">IF(P588+AC588&lt;0.000001,0,IF(A588=入力設定!$B$6*12,P588+AB588+AC588,MIN(Q588,P588+AB588+AC588)))</f>
        <v>0</v>
      </c>
      <c r="S588" s="70">
        <f t="shared" ca="1" si="204"/>
        <v>0</v>
      </c>
      <c r="T588" s="70">
        <f t="shared" ca="1" si="205"/>
        <v>0</v>
      </c>
      <c r="U588" s="70">
        <f t="shared" ca="1" si="206"/>
        <v>0</v>
      </c>
      <c r="V588" s="70">
        <f t="shared" ca="1" si="207"/>
        <v>0</v>
      </c>
      <c r="W588" s="70">
        <f t="shared" ca="1" si="208"/>
        <v>0</v>
      </c>
      <c r="X588" s="70">
        <f t="shared" ca="1" si="209"/>
        <v>0</v>
      </c>
      <c r="Y588" s="71">
        <f t="shared" ca="1" si="210"/>
        <v>0</v>
      </c>
      <c r="Z588" s="71">
        <f t="shared" ca="1" si="218"/>
        <v>0</v>
      </c>
      <c r="AA588" s="71">
        <f t="shared" ca="1" si="211"/>
        <v>0</v>
      </c>
      <c r="AB588" s="71">
        <f t="shared" ca="1" si="212"/>
        <v>0</v>
      </c>
      <c r="AC588" s="71">
        <f t="shared" ca="1" si="219"/>
        <v>0</v>
      </c>
      <c r="AD588" s="71">
        <f t="shared" ca="1" si="213"/>
        <v>0</v>
      </c>
      <c r="AE588" s="72">
        <f t="shared" si="214"/>
        <v>0</v>
      </c>
      <c r="AF588" s="73">
        <f>IF(A588&gt;入力設定!$B$6*12,0,IF(AND(ISNUMBER(C588),C588&gt;=0,C588&lt;=1),0,1))</f>
        <v>0</v>
      </c>
    </row>
    <row r="589" spans="1:32" ht="21" customHeight="1">
      <c r="A589" s="68">
        <f>584</f>
        <v>584</v>
      </c>
      <c r="B589" s="69">
        <f>EDATE(入力設定!$B$7,A589-1)</f>
        <v>64071</v>
      </c>
      <c r="C589" s="80">
        <f>INDEX(入力設定!$C$15:$C$24,INT((A589-1)/60)+1)</f>
        <v>0.05</v>
      </c>
      <c r="D589" s="70">
        <f t="shared" ca="1" si="215"/>
        <v>0</v>
      </c>
      <c r="E589" s="70">
        <f t="shared" ca="1" si="216"/>
        <v>0</v>
      </c>
      <c r="F589" s="70">
        <f ca="1">IF(D589+Z589&lt;0.000001,0,IF(D589&lt;0.000001,F588,IF(OR(AE589=1,AND(K588&gt;0,入力設定!$B$8="返済額軽減型",入力設定!$B$11="翌月")),IF(C589=0,D589/MAX(1,E589),D589*(C589/12)/(1-(1+C589/12)^(-MAX(1,E589)))),F588)))</f>
        <v>0</v>
      </c>
      <c r="G589" s="70">
        <f t="shared" ca="1" si="198"/>
        <v>0</v>
      </c>
      <c r="H589" s="70">
        <f t="shared" ca="1" si="199"/>
        <v>0</v>
      </c>
      <c r="I589" s="70">
        <f t="shared" ca="1" si="200"/>
        <v>0</v>
      </c>
      <c r="J589" s="70">
        <f>SUMIFS(入力設定!$G$5:$G$24,入力設定!$F$5:$F$24,A589)</f>
        <v>0</v>
      </c>
      <c r="K589" s="70">
        <f t="shared" ca="1" si="201"/>
        <v>0</v>
      </c>
      <c r="L589" s="70">
        <f ca="1">IF(K589&gt;0,入力設定!$B$9,0)</f>
        <v>0</v>
      </c>
      <c r="M589" s="70">
        <f t="shared" ca="1" si="202"/>
        <v>0</v>
      </c>
      <c r="N589" s="70">
        <f ca="1">IF(M589+AA589&lt;0.000001,0,IF(AND(K589&gt;0,入力設定!$B$8="期間短縮型",AA589&lt;0.000001,F589&gt;M589*C589/12),MAX(1,MIN(E589-1,IF(C589=0,ROUNDUP(M589/F589,0),ROUNDUP(-LN(1-M589*(C589/12)/F589)/LN(1+C589/12),0)))),MAX(1,E589-1)))</f>
        <v>0</v>
      </c>
      <c r="O589" s="70">
        <f t="shared" ca="1" si="203"/>
        <v>0</v>
      </c>
      <c r="P589" s="70">
        <f t="shared" ca="1" si="217"/>
        <v>0</v>
      </c>
      <c r="Q589" s="70">
        <f ca="1">IF(OR(A589&gt;入力設定!$B$6*12,P589+AC589&lt;0.000001),0,IF(P589&lt;0.000001,Q588,IF(AE589=1,IF(C589=0,P589/MAX(1,入力設定!$B$6*12-A589+1),P589*(C589/12)/(1-(1+C589/12)^(-MAX(1,入力設定!$B$6*12-A589+1)))),Q588)))</f>
        <v>0</v>
      </c>
      <c r="R589" s="70">
        <f ca="1">IF(P589+AC589&lt;0.000001,0,IF(A589=入力設定!$B$6*12,P589+AB589+AC589,MIN(Q589,P589+AB589+AC589)))</f>
        <v>0</v>
      </c>
      <c r="S589" s="70">
        <f t="shared" ca="1" si="204"/>
        <v>0</v>
      </c>
      <c r="T589" s="70">
        <f t="shared" ca="1" si="205"/>
        <v>0</v>
      </c>
      <c r="U589" s="70">
        <f t="shared" ca="1" si="206"/>
        <v>0</v>
      </c>
      <c r="V589" s="70">
        <f t="shared" ca="1" si="207"/>
        <v>0</v>
      </c>
      <c r="W589" s="70">
        <f t="shared" ca="1" si="208"/>
        <v>0</v>
      </c>
      <c r="X589" s="70">
        <f t="shared" ca="1" si="209"/>
        <v>0</v>
      </c>
      <c r="Y589" s="71">
        <f t="shared" ca="1" si="210"/>
        <v>0</v>
      </c>
      <c r="Z589" s="71">
        <f t="shared" ca="1" si="218"/>
        <v>0</v>
      </c>
      <c r="AA589" s="71">
        <f t="shared" ca="1" si="211"/>
        <v>0</v>
      </c>
      <c r="AB589" s="71">
        <f t="shared" ca="1" si="212"/>
        <v>0</v>
      </c>
      <c r="AC589" s="71">
        <f t="shared" ca="1" si="219"/>
        <v>0</v>
      </c>
      <c r="AD589" s="71">
        <f t="shared" ca="1" si="213"/>
        <v>0</v>
      </c>
      <c r="AE589" s="72">
        <f t="shared" si="214"/>
        <v>0</v>
      </c>
      <c r="AF589" s="73">
        <f>IF(A589&gt;入力設定!$B$6*12,0,IF(AND(ISNUMBER(C589),C589&gt;=0,C589&lt;=1),0,1))</f>
        <v>0</v>
      </c>
    </row>
    <row r="590" spans="1:32" ht="21" customHeight="1">
      <c r="A590" s="68">
        <f>585</f>
        <v>585</v>
      </c>
      <c r="B590" s="69">
        <f>EDATE(入力設定!$B$7,A590-1)</f>
        <v>64101</v>
      </c>
      <c r="C590" s="80">
        <f>INDEX(入力設定!$C$15:$C$24,INT((A590-1)/60)+1)</f>
        <v>0.05</v>
      </c>
      <c r="D590" s="70">
        <f t="shared" ca="1" si="215"/>
        <v>0</v>
      </c>
      <c r="E590" s="70">
        <f t="shared" ca="1" si="216"/>
        <v>0</v>
      </c>
      <c r="F590" s="70">
        <f ca="1">IF(D590+Z590&lt;0.000001,0,IF(D590&lt;0.000001,F589,IF(OR(AE590=1,AND(K589&gt;0,入力設定!$B$8="返済額軽減型",入力設定!$B$11="翌月")),IF(C590=0,D590/MAX(1,E590),D590*(C590/12)/(1-(1+C590/12)^(-MAX(1,E590)))),F589)))</f>
        <v>0</v>
      </c>
      <c r="G590" s="70">
        <f t="shared" ca="1" si="198"/>
        <v>0</v>
      </c>
      <c r="H590" s="70">
        <f t="shared" ca="1" si="199"/>
        <v>0</v>
      </c>
      <c r="I590" s="70">
        <f t="shared" ca="1" si="200"/>
        <v>0</v>
      </c>
      <c r="J590" s="70">
        <f>SUMIFS(入力設定!$G$5:$G$24,入力設定!$F$5:$F$24,A590)</f>
        <v>0</v>
      </c>
      <c r="K590" s="70">
        <f t="shared" ca="1" si="201"/>
        <v>0</v>
      </c>
      <c r="L590" s="70">
        <f ca="1">IF(K590&gt;0,入力設定!$B$9,0)</f>
        <v>0</v>
      </c>
      <c r="M590" s="70">
        <f t="shared" ca="1" si="202"/>
        <v>0</v>
      </c>
      <c r="N590" s="70">
        <f ca="1">IF(M590+AA590&lt;0.000001,0,IF(AND(K590&gt;0,入力設定!$B$8="期間短縮型",AA590&lt;0.000001,F590&gt;M590*C590/12),MAX(1,MIN(E590-1,IF(C590=0,ROUNDUP(M590/F590,0),ROUNDUP(-LN(1-M590*(C590/12)/F590)/LN(1+C590/12),0)))),MAX(1,E590-1)))</f>
        <v>0</v>
      </c>
      <c r="O590" s="70">
        <f t="shared" ca="1" si="203"/>
        <v>0</v>
      </c>
      <c r="P590" s="70">
        <f t="shared" ca="1" si="217"/>
        <v>0</v>
      </c>
      <c r="Q590" s="70">
        <f ca="1">IF(OR(A590&gt;入力設定!$B$6*12,P590+AC590&lt;0.000001),0,IF(P590&lt;0.000001,Q589,IF(AE590=1,IF(C590=0,P590/MAX(1,入力設定!$B$6*12-A590+1),P590*(C590/12)/(1-(1+C590/12)^(-MAX(1,入力設定!$B$6*12-A590+1)))),Q589)))</f>
        <v>0</v>
      </c>
      <c r="R590" s="70">
        <f ca="1">IF(P590+AC590&lt;0.000001,0,IF(A590=入力設定!$B$6*12,P590+AB590+AC590,MIN(Q590,P590+AB590+AC590)))</f>
        <v>0</v>
      </c>
      <c r="S590" s="70">
        <f t="shared" ca="1" si="204"/>
        <v>0</v>
      </c>
      <c r="T590" s="70">
        <f t="shared" ca="1" si="205"/>
        <v>0</v>
      </c>
      <c r="U590" s="70">
        <f t="shared" ca="1" si="206"/>
        <v>0</v>
      </c>
      <c r="V590" s="70">
        <f t="shared" ca="1" si="207"/>
        <v>0</v>
      </c>
      <c r="W590" s="70">
        <f t="shared" ca="1" si="208"/>
        <v>0</v>
      </c>
      <c r="X590" s="70">
        <f t="shared" ca="1" si="209"/>
        <v>0</v>
      </c>
      <c r="Y590" s="71">
        <f t="shared" ca="1" si="210"/>
        <v>0</v>
      </c>
      <c r="Z590" s="71">
        <f t="shared" ca="1" si="218"/>
        <v>0</v>
      </c>
      <c r="AA590" s="71">
        <f t="shared" ca="1" si="211"/>
        <v>0</v>
      </c>
      <c r="AB590" s="71">
        <f t="shared" ca="1" si="212"/>
        <v>0</v>
      </c>
      <c r="AC590" s="71">
        <f t="shared" ca="1" si="219"/>
        <v>0</v>
      </c>
      <c r="AD590" s="71">
        <f t="shared" ca="1" si="213"/>
        <v>0</v>
      </c>
      <c r="AE590" s="72">
        <f t="shared" si="214"/>
        <v>0</v>
      </c>
      <c r="AF590" s="73">
        <f>IF(A590&gt;入力設定!$B$6*12,0,IF(AND(ISNUMBER(C590),C590&gt;=0,C590&lt;=1),0,1))</f>
        <v>0</v>
      </c>
    </row>
    <row r="591" spans="1:32" ht="21" customHeight="1">
      <c r="A591" s="68">
        <f>586</f>
        <v>586</v>
      </c>
      <c r="B591" s="69">
        <f>EDATE(入力設定!$B$7,A591-1)</f>
        <v>64132</v>
      </c>
      <c r="C591" s="80">
        <f>INDEX(入力設定!$C$15:$C$24,INT((A591-1)/60)+1)</f>
        <v>0.05</v>
      </c>
      <c r="D591" s="70">
        <f t="shared" ca="1" si="215"/>
        <v>0</v>
      </c>
      <c r="E591" s="70">
        <f t="shared" ca="1" si="216"/>
        <v>0</v>
      </c>
      <c r="F591" s="70">
        <f ca="1">IF(D591+Z591&lt;0.000001,0,IF(D591&lt;0.000001,F590,IF(OR(AE591=1,AND(K590&gt;0,入力設定!$B$8="返済額軽減型",入力設定!$B$11="翌月")),IF(C591=0,D591/MAX(1,E591),D591*(C591/12)/(1-(1+C591/12)^(-MAX(1,E591)))),F590)))</f>
        <v>0</v>
      </c>
      <c r="G591" s="70">
        <f t="shared" ca="1" si="198"/>
        <v>0</v>
      </c>
      <c r="H591" s="70">
        <f t="shared" ca="1" si="199"/>
        <v>0</v>
      </c>
      <c r="I591" s="70">
        <f t="shared" ca="1" si="200"/>
        <v>0</v>
      </c>
      <c r="J591" s="70">
        <f>SUMIFS(入力設定!$G$5:$G$24,入力設定!$F$5:$F$24,A591)</f>
        <v>0</v>
      </c>
      <c r="K591" s="70">
        <f t="shared" ca="1" si="201"/>
        <v>0</v>
      </c>
      <c r="L591" s="70">
        <f ca="1">IF(K591&gt;0,入力設定!$B$9,0)</f>
        <v>0</v>
      </c>
      <c r="M591" s="70">
        <f t="shared" ca="1" si="202"/>
        <v>0</v>
      </c>
      <c r="N591" s="70">
        <f ca="1">IF(M591+AA591&lt;0.000001,0,IF(AND(K591&gt;0,入力設定!$B$8="期間短縮型",AA591&lt;0.000001,F591&gt;M591*C591/12),MAX(1,MIN(E591-1,IF(C591=0,ROUNDUP(M591/F591,0),ROUNDUP(-LN(1-M591*(C591/12)/F591)/LN(1+C591/12),0)))),MAX(1,E591-1)))</f>
        <v>0</v>
      </c>
      <c r="O591" s="70">
        <f t="shared" ca="1" si="203"/>
        <v>0</v>
      </c>
      <c r="P591" s="70">
        <f t="shared" ca="1" si="217"/>
        <v>0</v>
      </c>
      <c r="Q591" s="70">
        <f ca="1">IF(OR(A591&gt;入力設定!$B$6*12,P591+AC591&lt;0.000001),0,IF(P591&lt;0.000001,Q590,IF(AE591=1,IF(C591=0,P591/MAX(1,入力設定!$B$6*12-A591+1),P591*(C591/12)/(1-(1+C591/12)^(-MAX(1,入力設定!$B$6*12-A591+1)))),Q590)))</f>
        <v>0</v>
      </c>
      <c r="R591" s="70">
        <f ca="1">IF(P591+AC591&lt;0.000001,0,IF(A591=入力設定!$B$6*12,P591+AB591+AC591,MIN(Q591,P591+AB591+AC591)))</f>
        <v>0</v>
      </c>
      <c r="S591" s="70">
        <f t="shared" ca="1" si="204"/>
        <v>0</v>
      </c>
      <c r="T591" s="70">
        <f t="shared" ca="1" si="205"/>
        <v>0</v>
      </c>
      <c r="U591" s="70">
        <f t="shared" ca="1" si="206"/>
        <v>0</v>
      </c>
      <c r="V591" s="70">
        <f t="shared" ca="1" si="207"/>
        <v>0</v>
      </c>
      <c r="W591" s="70">
        <f t="shared" ca="1" si="208"/>
        <v>0</v>
      </c>
      <c r="X591" s="70">
        <f t="shared" ca="1" si="209"/>
        <v>0</v>
      </c>
      <c r="Y591" s="71">
        <f t="shared" ca="1" si="210"/>
        <v>0</v>
      </c>
      <c r="Z591" s="71">
        <f t="shared" ca="1" si="218"/>
        <v>0</v>
      </c>
      <c r="AA591" s="71">
        <f t="shared" ca="1" si="211"/>
        <v>0</v>
      </c>
      <c r="AB591" s="71">
        <f t="shared" ca="1" si="212"/>
        <v>0</v>
      </c>
      <c r="AC591" s="71">
        <f t="shared" ca="1" si="219"/>
        <v>0</v>
      </c>
      <c r="AD591" s="71">
        <f t="shared" ca="1" si="213"/>
        <v>0</v>
      </c>
      <c r="AE591" s="72">
        <f t="shared" si="214"/>
        <v>0</v>
      </c>
      <c r="AF591" s="73">
        <f>IF(A591&gt;入力設定!$B$6*12,0,IF(AND(ISNUMBER(C591),C591&gt;=0,C591&lt;=1),0,1))</f>
        <v>0</v>
      </c>
    </row>
    <row r="592" spans="1:32" ht="21" customHeight="1">
      <c r="A592" s="68">
        <f>587</f>
        <v>587</v>
      </c>
      <c r="B592" s="69">
        <f>EDATE(入力設定!$B$7,A592-1)</f>
        <v>64163</v>
      </c>
      <c r="C592" s="80">
        <f>INDEX(入力設定!$C$15:$C$24,INT((A592-1)/60)+1)</f>
        <v>0.05</v>
      </c>
      <c r="D592" s="70">
        <f t="shared" ca="1" si="215"/>
        <v>0</v>
      </c>
      <c r="E592" s="70">
        <f t="shared" ca="1" si="216"/>
        <v>0</v>
      </c>
      <c r="F592" s="70">
        <f ca="1">IF(D592+Z592&lt;0.000001,0,IF(D592&lt;0.000001,F591,IF(OR(AE592=1,AND(K591&gt;0,入力設定!$B$8="返済額軽減型",入力設定!$B$11="翌月")),IF(C592=0,D592/MAX(1,E592),D592*(C592/12)/(1-(1+C592/12)^(-MAX(1,E592)))),F591)))</f>
        <v>0</v>
      </c>
      <c r="G592" s="70">
        <f t="shared" ca="1" si="198"/>
        <v>0</v>
      </c>
      <c r="H592" s="70">
        <f t="shared" ca="1" si="199"/>
        <v>0</v>
      </c>
      <c r="I592" s="70">
        <f t="shared" ca="1" si="200"/>
        <v>0</v>
      </c>
      <c r="J592" s="70">
        <f>SUMIFS(入力設定!$G$5:$G$24,入力設定!$F$5:$F$24,A592)</f>
        <v>0</v>
      </c>
      <c r="K592" s="70">
        <f t="shared" ca="1" si="201"/>
        <v>0</v>
      </c>
      <c r="L592" s="70">
        <f ca="1">IF(K592&gt;0,入力設定!$B$9,0)</f>
        <v>0</v>
      </c>
      <c r="M592" s="70">
        <f t="shared" ca="1" si="202"/>
        <v>0</v>
      </c>
      <c r="N592" s="70">
        <f ca="1">IF(M592+AA592&lt;0.000001,0,IF(AND(K592&gt;0,入力設定!$B$8="期間短縮型",AA592&lt;0.000001,F592&gt;M592*C592/12),MAX(1,MIN(E592-1,IF(C592=0,ROUNDUP(M592/F592,0),ROUNDUP(-LN(1-M592*(C592/12)/F592)/LN(1+C592/12),0)))),MAX(1,E592-1)))</f>
        <v>0</v>
      </c>
      <c r="O592" s="70">
        <f t="shared" ca="1" si="203"/>
        <v>0</v>
      </c>
      <c r="P592" s="70">
        <f t="shared" ca="1" si="217"/>
        <v>0</v>
      </c>
      <c r="Q592" s="70">
        <f ca="1">IF(OR(A592&gt;入力設定!$B$6*12,P592+AC592&lt;0.000001),0,IF(P592&lt;0.000001,Q591,IF(AE592=1,IF(C592=0,P592/MAX(1,入力設定!$B$6*12-A592+1),P592*(C592/12)/(1-(1+C592/12)^(-MAX(1,入力設定!$B$6*12-A592+1)))),Q591)))</f>
        <v>0</v>
      </c>
      <c r="R592" s="70">
        <f ca="1">IF(P592+AC592&lt;0.000001,0,IF(A592=入力設定!$B$6*12,P592+AB592+AC592,MIN(Q592,P592+AB592+AC592)))</f>
        <v>0</v>
      </c>
      <c r="S592" s="70">
        <f t="shared" ca="1" si="204"/>
        <v>0</v>
      </c>
      <c r="T592" s="70">
        <f t="shared" ca="1" si="205"/>
        <v>0</v>
      </c>
      <c r="U592" s="70">
        <f t="shared" ca="1" si="206"/>
        <v>0</v>
      </c>
      <c r="V592" s="70">
        <f t="shared" ca="1" si="207"/>
        <v>0</v>
      </c>
      <c r="W592" s="70">
        <f t="shared" ca="1" si="208"/>
        <v>0</v>
      </c>
      <c r="X592" s="70">
        <f t="shared" ca="1" si="209"/>
        <v>0</v>
      </c>
      <c r="Y592" s="71">
        <f t="shared" ca="1" si="210"/>
        <v>0</v>
      </c>
      <c r="Z592" s="71">
        <f t="shared" ca="1" si="218"/>
        <v>0</v>
      </c>
      <c r="AA592" s="71">
        <f t="shared" ca="1" si="211"/>
        <v>0</v>
      </c>
      <c r="AB592" s="71">
        <f t="shared" ca="1" si="212"/>
        <v>0</v>
      </c>
      <c r="AC592" s="71">
        <f t="shared" ca="1" si="219"/>
        <v>0</v>
      </c>
      <c r="AD592" s="71">
        <f t="shared" ca="1" si="213"/>
        <v>0</v>
      </c>
      <c r="AE592" s="72">
        <f t="shared" si="214"/>
        <v>0</v>
      </c>
      <c r="AF592" s="73">
        <f>IF(A592&gt;入力設定!$B$6*12,0,IF(AND(ISNUMBER(C592),C592&gt;=0,C592&lt;=1),0,1))</f>
        <v>0</v>
      </c>
    </row>
    <row r="593" spans="1:32" ht="21" customHeight="1">
      <c r="A593" s="68">
        <f>588</f>
        <v>588</v>
      </c>
      <c r="B593" s="69">
        <f>EDATE(入力設定!$B$7,A593-1)</f>
        <v>64193</v>
      </c>
      <c r="C593" s="80">
        <f>INDEX(入力設定!$C$15:$C$24,INT((A593-1)/60)+1)</f>
        <v>0.05</v>
      </c>
      <c r="D593" s="70">
        <f t="shared" ca="1" si="215"/>
        <v>0</v>
      </c>
      <c r="E593" s="70">
        <f t="shared" ca="1" si="216"/>
        <v>0</v>
      </c>
      <c r="F593" s="70">
        <f ca="1">IF(D593+Z593&lt;0.000001,0,IF(D593&lt;0.000001,F592,IF(OR(AE593=1,AND(K592&gt;0,入力設定!$B$8="返済額軽減型",入力設定!$B$11="翌月")),IF(C593=0,D593/MAX(1,E593),D593*(C593/12)/(1-(1+C593/12)^(-MAX(1,E593)))),F592)))</f>
        <v>0</v>
      </c>
      <c r="G593" s="70">
        <f t="shared" ca="1" si="198"/>
        <v>0</v>
      </c>
      <c r="H593" s="70">
        <f t="shared" ca="1" si="199"/>
        <v>0</v>
      </c>
      <c r="I593" s="70">
        <f t="shared" ca="1" si="200"/>
        <v>0</v>
      </c>
      <c r="J593" s="70">
        <f>SUMIFS(入力設定!$G$5:$G$24,入力設定!$F$5:$F$24,A593)</f>
        <v>0</v>
      </c>
      <c r="K593" s="70">
        <f t="shared" ca="1" si="201"/>
        <v>0</v>
      </c>
      <c r="L593" s="70">
        <f ca="1">IF(K593&gt;0,入力設定!$B$9,0)</f>
        <v>0</v>
      </c>
      <c r="M593" s="70">
        <f t="shared" ca="1" si="202"/>
        <v>0</v>
      </c>
      <c r="N593" s="70">
        <f ca="1">IF(M593+AA593&lt;0.000001,0,IF(AND(K593&gt;0,入力設定!$B$8="期間短縮型",AA593&lt;0.000001,F593&gt;M593*C593/12),MAX(1,MIN(E593-1,IF(C593=0,ROUNDUP(M593/F593,0),ROUNDUP(-LN(1-M593*(C593/12)/F593)/LN(1+C593/12),0)))),MAX(1,E593-1)))</f>
        <v>0</v>
      </c>
      <c r="O593" s="70">
        <f t="shared" ca="1" si="203"/>
        <v>0</v>
      </c>
      <c r="P593" s="70">
        <f t="shared" ca="1" si="217"/>
        <v>0</v>
      </c>
      <c r="Q593" s="70">
        <f ca="1">IF(OR(A593&gt;入力設定!$B$6*12,P593+AC593&lt;0.000001),0,IF(P593&lt;0.000001,Q592,IF(AE593=1,IF(C593=0,P593/MAX(1,入力設定!$B$6*12-A593+1),P593*(C593/12)/(1-(1+C593/12)^(-MAX(1,入力設定!$B$6*12-A593+1)))),Q592)))</f>
        <v>0</v>
      </c>
      <c r="R593" s="70">
        <f ca="1">IF(P593+AC593&lt;0.000001,0,IF(A593=入力設定!$B$6*12,P593+AB593+AC593,MIN(Q593,P593+AB593+AC593)))</f>
        <v>0</v>
      </c>
      <c r="S593" s="70">
        <f t="shared" ca="1" si="204"/>
        <v>0</v>
      </c>
      <c r="T593" s="70">
        <f t="shared" ca="1" si="205"/>
        <v>0</v>
      </c>
      <c r="U593" s="70">
        <f t="shared" ca="1" si="206"/>
        <v>0</v>
      </c>
      <c r="V593" s="70">
        <f t="shared" ca="1" si="207"/>
        <v>0</v>
      </c>
      <c r="W593" s="70">
        <f t="shared" ca="1" si="208"/>
        <v>0</v>
      </c>
      <c r="X593" s="70">
        <f t="shared" ca="1" si="209"/>
        <v>0</v>
      </c>
      <c r="Y593" s="71">
        <f t="shared" ca="1" si="210"/>
        <v>0</v>
      </c>
      <c r="Z593" s="71">
        <f t="shared" ca="1" si="218"/>
        <v>0</v>
      </c>
      <c r="AA593" s="71">
        <f t="shared" ca="1" si="211"/>
        <v>0</v>
      </c>
      <c r="AB593" s="71">
        <f t="shared" ca="1" si="212"/>
        <v>0</v>
      </c>
      <c r="AC593" s="71">
        <f t="shared" ca="1" si="219"/>
        <v>0</v>
      </c>
      <c r="AD593" s="71">
        <f t="shared" ca="1" si="213"/>
        <v>0</v>
      </c>
      <c r="AE593" s="72">
        <f t="shared" si="214"/>
        <v>0</v>
      </c>
      <c r="AF593" s="73">
        <f>IF(A593&gt;入力設定!$B$6*12,0,IF(AND(ISNUMBER(C593),C593&gt;=0,C593&lt;=1),0,1))</f>
        <v>0</v>
      </c>
    </row>
    <row r="594" spans="1:32" ht="21" customHeight="1">
      <c r="A594" s="68">
        <f>589</f>
        <v>589</v>
      </c>
      <c r="B594" s="69">
        <f>EDATE(入力設定!$B$7,A594-1)</f>
        <v>64224</v>
      </c>
      <c r="C594" s="80">
        <f>INDEX(入力設定!$C$15:$C$24,INT((A594-1)/60)+1)</f>
        <v>0.05</v>
      </c>
      <c r="D594" s="70">
        <f t="shared" ca="1" si="215"/>
        <v>0</v>
      </c>
      <c r="E594" s="70">
        <f t="shared" ca="1" si="216"/>
        <v>0</v>
      </c>
      <c r="F594" s="70">
        <f ca="1">IF(D594+Z594&lt;0.000001,0,IF(D594&lt;0.000001,F593,IF(OR(AE594=1,AND(K593&gt;0,入力設定!$B$8="返済額軽減型",入力設定!$B$11="翌月")),IF(C594=0,D594/MAX(1,E594),D594*(C594/12)/(1-(1+C594/12)^(-MAX(1,E594)))),F593)))</f>
        <v>0</v>
      </c>
      <c r="G594" s="70">
        <f t="shared" ca="1" si="198"/>
        <v>0</v>
      </c>
      <c r="H594" s="70">
        <f t="shared" ca="1" si="199"/>
        <v>0</v>
      </c>
      <c r="I594" s="70">
        <f t="shared" ca="1" si="200"/>
        <v>0</v>
      </c>
      <c r="J594" s="70">
        <f>SUMIFS(入力設定!$G$5:$G$24,入力設定!$F$5:$F$24,A594)</f>
        <v>0</v>
      </c>
      <c r="K594" s="70">
        <f t="shared" ca="1" si="201"/>
        <v>0</v>
      </c>
      <c r="L594" s="70">
        <f ca="1">IF(K594&gt;0,入力設定!$B$9,0)</f>
        <v>0</v>
      </c>
      <c r="M594" s="70">
        <f t="shared" ca="1" si="202"/>
        <v>0</v>
      </c>
      <c r="N594" s="70">
        <f ca="1">IF(M594+AA594&lt;0.000001,0,IF(AND(K594&gt;0,入力設定!$B$8="期間短縮型",AA594&lt;0.000001,F594&gt;M594*C594/12),MAX(1,MIN(E594-1,IF(C594=0,ROUNDUP(M594/F594,0),ROUNDUP(-LN(1-M594*(C594/12)/F594)/LN(1+C594/12),0)))),MAX(1,E594-1)))</f>
        <v>0</v>
      </c>
      <c r="O594" s="70">
        <f t="shared" ca="1" si="203"/>
        <v>0</v>
      </c>
      <c r="P594" s="70">
        <f t="shared" ca="1" si="217"/>
        <v>0</v>
      </c>
      <c r="Q594" s="70">
        <f ca="1">IF(OR(A594&gt;入力設定!$B$6*12,P594+AC594&lt;0.000001),0,IF(P594&lt;0.000001,Q593,IF(AE594=1,IF(C594=0,P594/MAX(1,入力設定!$B$6*12-A594+1),P594*(C594/12)/(1-(1+C594/12)^(-MAX(1,入力設定!$B$6*12-A594+1)))),Q593)))</f>
        <v>0</v>
      </c>
      <c r="R594" s="70">
        <f ca="1">IF(P594+AC594&lt;0.000001,0,IF(A594=入力設定!$B$6*12,P594+AB594+AC594,MIN(Q594,P594+AB594+AC594)))</f>
        <v>0</v>
      </c>
      <c r="S594" s="70">
        <f t="shared" ca="1" si="204"/>
        <v>0</v>
      </c>
      <c r="T594" s="70">
        <f t="shared" ca="1" si="205"/>
        <v>0</v>
      </c>
      <c r="U594" s="70">
        <f t="shared" ca="1" si="206"/>
        <v>0</v>
      </c>
      <c r="V594" s="70">
        <f t="shared" ca="1" si="207"/>
        <v>0</v>
      </c>
      <c r="W594" s="70">
        <f t="shared" ca="1" si="208"/>
        <v>0</v>
      </c>
      <c r="X594" s="70">
        <f t="shared" ca="1" si="209"/>
        <v>0</v>
      </c>
      <c r="Y594" s="71">
        <f t="shared" ca="1" si="210"/>
        <v>0</v>
      </c>
      <c r="Z594" s="71">
        <f t="shared" ca="1" si="218"/>
        <v>0</v>
      </c>
      <c r="AA594" s="71">
        <f t="shared" ca="1" si="211"/>
        <v>0</v>
      </c>
      <c r="AB594" s="71">
        <f t="shared" ca="1" si="212"/>
        <v>0</v>
      </c>
      <c r="AC594" s="71">
        <f t="shared" ca="1" si="219"/>
        <v>0</v>
      </c>
      <c r="AD594" s="71">
        <f t="shared" ca="1" si="213"/>
        <v>0</v>
      </c>
      <c r="AE594" s="72">
        <f t="shared" si="214"/>
        <v>0</v>
      </c>
      <c r="AF594" s="73">
        <f>IF(A594&gt;入力設定!$B$6*12,0,IF(AND(ISNUMBER(C594),C594&gt;=0,C594&lt;=1),0,1))</f>
        <v>0</v>
      </c>
    </row>
    <row r="595" spans="1:32" ht="21" customHeight="1">
      <c r="A595" s="68">
        <f>590</f>
        <v>590</v>
      </c>
      <c r="B595" s="69">
        <f>EDATE(入力設定!$B$7,A595-1)</f>
        <v>64254</v>
      </c>
      <c r="C595" s="80">
        <f>INDEX(入力設定!$C$15:$C$24,INT((A595-1)/60)+1)</f>
        <v>0.05</v>
      </c>
      <c r="D595" s="70">
        <f t="shared" ca="1" si="215"/>
        <v>0</v>
      </c>
      <c r="E595" s="70">
        <f t="shared" ca="1" si="216"/>
        <v>0</v>
      </c>
      <c r="F595" s="70">
        <f ca="1">IF(D595+Z595&lt;0.000001,0,IF(D595&lt;0.000001,F594,IF(OR(AE595=1,AND(K594&gt;0,入力設定!$B$8="返済額軽減型",入力設定!$B$11="翌月")),IF(C595=0,D595/MAX(1,E595),D595*(C595/12)/(1-(1+C595/12)^(-MAX(1,E595)))),F594)))</f>
        <v>0</v>
      </c>
      <c r="G595" s="70">
        <f t="shared" ca="1" si="198"/>
        <v>0</v>
      </c>
      <c r="H595" s="70">
        <f t="shared" ca="1" si="199"/>
        <v>0</v>
      </c>
      <c r="I595" s="70">
        <f t="shared" ca="1" si="200"/>
        <v>0</v>
      </c>
      <c r="J595" s="70">
        <f>SUMIFS(入力設定!$G$5:$G$24,入力設定!$F$5:$F$24,A595)</f>
        <v>0</v>
      </c>
      <c r="K595" s="70">
        <f t="shared" ca="1" si="201"/>
        <v>0</v>
      </c>
      <c r="L595" s="70">
        <f ca="1">IF(K595&gt;0,入力設定!$B$9,0)</f>
        <v>0</v>
      </c>
      <c r="M595" s="70">
        <f t="shared" ca="1" si="202"/>
        <v>0</v>
      </c>
      <c r="N595" s="70">
        <f ca="1">IF(M595+AA595&lt;0.000001,0,IF(AND(K595&gt;0,入力設定!$B$8="期間短縮型",AA595&lt;0.000001,F595&gt;M595*C595/12),MAX(1,MIN(E595-1,IF(C595=0,ROUNDUP(M595/F595,0),ROUNDUP(-LN(1-M595*(C595/12)/F595)/LN(1+C595/12),0)))),MAX(1,E595-1)))</f>
        <v>0</v>
      </c>
      <c r="O595" s="70">
        <f t="shared" ca="1" si="203"/>
        <v>0</v>
      </c>
      <c r="P595" s="70">
        <f t="shared" ca="1" si="217"/>
        <v>0</v>
      </c>
      <c r="Q595" s="70">
        <f ca="1">IF(OR(A595&gt;入力設定!$B$6*12,P595+AC595&lt;0.000001),0,IF(P595&lt;0.000001,Q594,IF(AE595=1,IF(C595=0,P595/MAX(1,入力設定!$B$6*12-A595+1),P595*(C595/12)/(1-(1+C595/12)^(-MAX(1,入力設定!$B$6*12-A595+1)))),Q594)))</f>
        <v>0</v>
      </c>
      <c r="R595" s="70">
        <f ca="1">IF(P595+AC595&lt;0.000001,0,IF(A595=入力設定!$B$6*12,P595+AB595+AC595,MIN(Q595,P595+AB595+AC595)))</f>
        <v>0</v>
      </c>
      <c r="S595" s="70">
        <f t="shared" ca="1" si="204"/>
        <v>0</v>
      </c>
      <c r="T595" s="70">
        <f t="shared" ca="1" si="205"/>
        <v>0</v>
      </c>
      <c r="U595" s="70">
        <f t="shared" ca="1" si="206"/>
        <v>0</v>
      </c>
      <c r="V595" s="70">
        <f t="shared" ca="1" si="207"/>
        <v>0</v>
      </c>
      <c r="W595" s="70">
        <f t="shared" ca="1" si="208"/>
        <v>0</v>
      </c>
      <c r="X595" s="70">
        <f t="shared" ca="1" si="209"/>
        <v>0</v>
      </c>
      <c r="Y595" s="71">
        <f t="shared" ca="1" si="210"/>
        <v>0</v>
      </c>
      <c r="Z595" s="71">
        <f t="shared" ca="1" si="218"/>
        <v>0</v>
      </c>
      <c r="AA595" s="71">
        <f t="shared" ca="1" si="211"/>
        <v>0</v>
      </c>
      <c r="AB595" s="71">
        <f t="shared" ca="1" si="212"/>
        <v>0</v>
      </c>
      <c r="AC595" s="71">
        <f t="shared" ca="1" si="219"/>
        <v>0</v>
      </c>
      <c r="AD595" s="71">
        <f t="shared" ca="1" si="213"/>
        <v>0</v>
      </c>
      <c r="AE595" s="72">
        <f t="shared" si="214"/>
        <v>0</v>
      </c>
      <c r="AF595" s="73">
        <f>IF(A595&gt;入力設定!$B$6*12,0,IF(AND(ISNUMBER(C595),C595&gt;=0,C595&lt;=1),0,1))</f>
        <v>0</v>
      </c>
    </row>
    <row r="596" spans="1:32" ht="21" customHeight="1">
      <c r="A596" s="68">
        <f>591</f>
        <v>591</v>
      </c>
      <c r="B596" s="69">
        <f>EDATE(入力設定!$B$7,A596-1)</f>
        <v>64285</v>
      </c>
      <c r="C596" s="80">
        <f>INDEX(入力設定!$C$15:$C$24,INT((A596-1)/60)+1)</f>
        <v>0.05</v>
      </c>
      <c r="D596" s="70">
        <f t="shared" ca="1" si="215"/>
        <v>0</v>
      </c>
      <c r="E596" s="70">
        <f t="shared" ca="1" si="216"/>
        <v>0</v>
      </c>
      <c r="F596" s="70">
        <f ca="1">IF(D596+Z596&lt;0.000001,0,IF(D596&lt;0.000001,F595,IF(OR(AE596=1,AND(K595&gt;0,入力設定!$B$8="返済額軽減型",入力設定!$B$11="翌月")),IF(C596=0,D596/MAX(1,E596),D596*(C596/12)/(1-(1+C596/12)^(-MAX(1,E596)))),F595)))</f>
        <v>0</v>
      </c>
      <c r="G596" s="70">
        <f t="shared" ca="1" si="198"/>
        <v>0</v>
      </c>
      <c r="H596" s="70">
        <f t="shared" ca="1" si="199"/>
        <v>0</v>
      </c>
      <c r="I596" s="70">
        <f t="shared" ca="1" si="200"/>
        <v>0</v>
      </c>
      <c r="J596" s="70">
        <f>SUMIFS(入力設定!$G$5:$G$24,入力設定!$F$5:$F$24,A596)</f>
        <v>0</v>
      </c>
      <c r="K596" s="70">
        <f t="shared" ca="1" si="201"/>
        <v>0</v>
      </c>
      <c r="L596" s="70">
        <f ca="1">IF(K596&gt;0,入力設定!$B$9,0)</f>
        <v>0</v>
      </c>
      <c r="M596" s="70">
        <f t="shared" ca="1" si="202"/>
        <v>0</v>
      </c>
      <c r="N596" s="70">
        <f ca="1">IF(M596+AA596&lt;0.000001,0,IF(AND(K596&gt;0,入力設定!$B$8="期間短縮型",AA596&lt;0.000001,F596&gt;M596*C596/12),MAX(1,MIN(E596-1,IF(C596=0,ROUNDUP(M596/F596,0),ROUNDUP(-LN(1-M596*(C596/12)/F596)/LN(1+C596/12),0)))),MAX(1,E596-1)))</f>
        <v>0</v>
      </c>
      <c r="O596" s="70">
        <f t="shared" ca="1" si="203"/>
        <v>0</v>
      </c>
      <c r="P596" s="70">
        <f t="shared" ca="1" si="217"/>
        <v>0</v>
      </c>
      <c r="Q596" s="70">
        <f ca="1">IF(OR(A596&gt;入力設定!$B$6*12,P596+AC596&lt;0.000001),0,IF(P596&lt;0.000001,Q595,IF(AE596=1,IF(C596=0,P596/MAX(1,入力設定!$B$6*12-A596+1),P596*(C596/12)/(1-(1+C596/12)^(-MAX(1,入力設定!$B$6*12-A596+1)))),Q595)))</f>
        <v>0</v>
      </c>
      <c r="R596" s="70">
        <f ca="1">IF(P596+AC596&lt;0.000001,0,IF(A596=入力設定!$B$6*12,P596+AB596+AC596,MIN(Q596,P596+AB596+AC596)))</f>
        <v>0</v>
      </c>
      <c r="S596" s="70">
        <f t="shared" ca="1" si="204"/>
        <v>0</v>
      </c>
      <c r="T596" s="70">
        <f t="shared" ca="1" si="205"/>
        <v>0</v>
      </c>
      <c r="U596" s="70">
        <f t="shared" ca="1" si="206"/>
        <v>0</v>
      </c>
      <c r="V596" s="70">
        <f t="shared" ca="1" si="207"/>
        <v>0</v>
      </c>
      <c r="W596" s="70">
        <f t="shared" ca="1" si="208"/>
        <v>0</v>
      </c>
      <c r="X596" s="70">
        <f t="shared" ca="1" si="209"/>
        <v>0</v>
      </c>
      <c r="Y596" s="71">
        <f t="shared" ca="1" si="210"/>
        <v>0</v>
      </c>
      <c r="Z596" s="71">
        <f t="shared" ca="1" si="218"/>
        <v>0</v>
      </c>
      <c r="AA596" s="71">
        <f t="shared" ca="1" si="211"/>
        <v>0</v>
      </c>
      <c r="AB596" s="71">
        <f t="shared" ca="1" si="212"/>
        <v>0</v>
      </c>
      <c r="AC596" s="71">
        <f t="shared" ca="1" si="219"/>
        <v>0</v>
      </c>
      <c r="AD596" s="71">
        <f t="shared" ca="1" si="213"/>
        <v>0</v>
      </c>
      <c r="AE596" s="72">
        <f t="shared" si="214"/>
        <v>0</v>
      </c>
      <c r="AF596" s="73">
        <f>IF(A596&gt;入力設定!$B$6*12,0,IF(AND(ISNUMBER(C596),C596&gt;=0,C596&lt;=1),0,1))</f>
        <v>0</v>
      </c>
    </row>
    <row r="597" spans="1:32" ht="21" customHeight="1">
      <c r="A597" s="68">
        <f>592</f>
        <v>592</v>
      </c>
      <c r="B597" s="69">
        <f>EDATE(入力設定!$B$7,A597-1)</f>
        <v>64316</v>
      </c>
      <c r="C597" s="80">
        <f>INDEX(入力設定!$C$15:$C$24,INT((A597-1)/60)+1)</f>
        <v>0.05</v>
      </c>
      <c r="D597" s="70">
        <f t="shared" ca="1" si="215"/>
        <v>0</v>
      </c>
      <c r="E597" s="70">
        <f t="shared" ca="1" si="216"/>
        <v>0</v>
      </c>
      <c r="F597" s="70">
        <f ca="1">IF(D597+Z597&lt;0.000001,0,IF(D597&lt;0.000001,F596,IF(OR(AE597=1,AND(K596&gt;0,入力設定!$B$8="返済額軽減型",入力設定!$B$11="翌月")),IF(C597=0,D597/MAX(1,E597),D597*(C597/12)/(1-(1+C597/12)^(-MAX(1,E597)))),F596)))</f>
        <v>0</v>
      </c>
      <c r="G597" s="70">
        <f t="shared" ca="1" si="198"/>
        <v>0</v>
      </c>
      <c r="H597" s="70">
        <f t="shared" ca="1" si="199"/>
        <v>0</v>
      </c>
      <c r="I597" s="70">
        <f t="shared" ca="1" si="200"/>
        <v>0</v>
      </c>
      <c r="J597" s="70">
        <f>SUMIFS(入力設定!$G$5:$G$24,入力設定!$F$5:$F$24,A597)</f>
        <v>0</v>
      </c>
      <c r="K597" s="70">
        <f t="shared" ca="1" si="201"/>
        <v>0</v>
      </c>
      <c r="L597" s="70">
        <f ca="1">IF(K597&gt;0,入力設定!$B$9,0)</f>
        <v>0</v>
      </c>
      <c r="M597" s="70">
        <f t="shared" ca="1" si="202"/>
        <v>0</v>
      </c>
      <c r="N597" s="70">
        <f ca="1">IF(M597+AA597&lt;0.000001,0,IF(AND(K597&gt;0,入力設定!$B$8="期間短縮型",AA597&lt;0.000001,F597&gt;M597*C597/12),MAX(1,MIN(E597-1,IF(C597=0,ROUNDUP(M597/F597,0),ROUNDUP(-LN(1-M597*(C597/12)/F597)/LN(1+C597/12),0)))),MAX(1,E597-1)))</f>
        <v>0</v>
      </c>
      <c r="O597" s="70">
        <f t="shared" ca="1" si="203"/>
        <v>0</v>
      </c>
      <c r="P597" s="70">
        <f t="shared" ca="1" si="217"/>
        <v>0</v>
      </c>
      <c r="Q597" s="70">
        <f ca="1">IF(OR(A597&gt;入力設定!$B$6*12,P597+AC597&lt;0.000001),0,IF(P597&lt;0.000001,Q596,IF(AE597=1,IF(C597=0,P597/MAX(1,入力設定!$B$6*12-A597+1),P597*(C597/12)/(1-(1+C597/12)^(-MAX(1,入力設定!$B$6*12-A597+1)))),Q596)))</f>
        <v>0</v>
      </c>
      <c r="R597" s="70">
        <f ca="1">IF(P597+AC597&lt;0.000001,0,IF(A597=入力設定!$B$6*12,P597+AB597+AC597,MIN(Q597,P597+AB597+AC597)))</f>
        <v>0</v>
      </c>
      <c r="S597" s="70">
        <f t="shared" ca="1" si="204"/>
        <v>0</v>
      </c>
      <c r="T597" s="70">
        <f t="shared" ca="1" si="205"/>
        <v>0</v>
      </c>
      <c r="U597" s="70">
        <f t="shared" ca="1" si="206"/>
        <v>0</v>
      </c>
      <c r="V597" s="70">
        <f t="shared" ca="1" si="207"/>
        <v>0</v>
      </c>
      <c r="W597" s="70">
        <f t="shared" ca="1" si="208"/>
        <v>0</v>
      </c>
      <c r="X597" s="70">
        <f t="shared" ca="1" si="209"/>
        <v>0</v>
      </c>
      <c r="Y597" s="71">
        <f t="shared" ca="1" si="210"/>
        <v>0</v>
      </c>
      <c r="Z597" s="71">
        <f t="shared" ca="1" si="218"/>
        <v>0</v>
      </c>
      <c r="AA597" s="71">
        <f t="shared" ca="1" si="211"/>
        <v>0</v>
      </c>
      <c r="AB597" s="71">
        <f t="shared" ca="1" si="212"/>
        <v>0</v>
      </c>
      <c r="AC597" s="71">
        <f t="shared" ca="1" si="219"/>
        <v>0</v>
      </c>
      <c r="AD597" s="71">
        <f t="shared" ca="1" si="213"/>
        <v>0</v>
      </c>
      <c r="AE597" s="72">
        <f t="shared" si="214"/>
        <v>0</v>
      </c>
      <c r="AF597" s="73">
        <f>IF(A597&gt;入力設定!$B$6*12,0,IF(AND(ISNUMBER(C597),C597&gt;=0,C597&lt;=1),0,1))</f>
        <v>0</v>
      </c>
    </row>
    <row r="598" spans="1:32" ht="21" customHeight="1">
      <c r="A598" s="68">
        <f>593</f>
        <v>593</v>
      </c>
      <c r="B598" s="69">
        <f>EDATE(入力設定!$B$7,A598-1)</f>
        <v>64345</v>
      </c>
      <c r="C598" s="80">
        <f>INDEX(入力設定!$C$15:$C$24,INT((A598-1)/60)+1)</f>
        <v>0.05</v>
      </c>
      <c r="D598" s="70">
        <f t="shared" ca="1" si="215"/>
        <v>0</v>
      </c>
      <c r="E598" s="70">
        <f t="shared" ca="1" si="216"/>
        <v>0</v>
      </c>
      <c r="F598" s="70">
        <f ca="1">IF(D598+Z598&lt;0.000001,0,IF(D598&lt;0.000001,F597,IF(OR(AE598=1,AND(K597&gt;0,入力設定!$B$8="返済額軽減型",入力設定!$B$11="翌月")),IF(C598=0,D598/MAX(1,E598),D598*(C598/12)/(1-(1+C598/12)^(-MAX(1,E598)))),F597)))</f>
        <v>0</v>
      </c>
      <c r="G598" s="70">
        <f t="shared" ca="1" si="198"/>
        <v>0</v>
      </c>
      <c r="H598" s="70">
        <f t="shared" ca="1" si="199"/>
        <v>0</v>
      </c>
      <c r="I598" s="70">
        <f t="shared" ca="1" si="200"/>
        <v>0</v>
      </c>
      <c r="J598" s="70">
        <f>SUMIFS(入力設定!$G$5:$G$24,入力設定!$F$5:$F$24,A598)</f>
        <v>0</v>
      </c>
      <c r="K598" s="70">
        <f t="shared" ca="1" si="201"/>
        <v>0</v>
      </c>
      <c r="L598" s="70">
        <f ca="1">IF(K598&gt;0,入力設定!$B$9,0)</f>
        <v>0</v>
      </c>
      <c r="M598" s="70">
        <f t="shared" ca="1" si="202"/>
        <v>0</v>
      </c>
      <c r="N598" s="70">
        <f ca="1">IF(M598+AA598&lt;0.000001,0,IF(AND(K598&gt;0,入力設定!$B$8="期間短縮型",AA598&lt;0.000001,F598&gt;M598*C598/12),MAX(1,MIN(E598-1,IF(C598=0,ROUNDUP(M598/F598,0),ROUNDUP(-LN(1-M598*(C598/12)/F598)/LN(1+C598/12),0)))),MAX(1,E598-1)))</f>
        <v>0</v>
      </c>
      <c r="O598" s="70">
        <f t="shared" ca="1" si="203"/>
        <v>0</v>
      </c>
      <c r="P598" s="70">
        <f t="shared" ca="1" si="217"/>
        <v>0</v>
      </c>
      <c r="Q598" s="70">
        <f ca="1">IF(OR(A598&gt;入力設定!$B$6*12,P598+AC598&lt;0.000001),0,IF(P598&lt;0.000001,Q597,IF(AE598=1,IF(C598=0,P598/MAX(1,入力設定!$B$6*12-A598+1),P598*(C598/12)/(1-(1+C598/12)^(-MAX(1,入力設定!$B$6*12-A598+1)))),Q597)))</f>
        <v>0</v>
      </c>
      <c r="R598" s="70">
        <f ca="1">IF(P598+AC598&lt;0.000001,0,IF(A598=入力設定!$B$6*12,P598+AB598+AC598,MIN(Q598,P598+AB598+AC598)))</f>
        <v>0</v>
      </c>
      <c r="S598" s="70">
        <f t="shared" ca="1" si="204"/>
        <v>0</v>
      </c>
      <c r="T598" s="70">
        <f t="shared" ca="1" si="205"/>
        <v>0</v>
      </c>
      <c r="U598" s="70">
        <f t="shared" ca="1" si="206"/>
        <v>0</v>
      </c>
      <c r="V598" s="70">
        <f t="shared" ca="1" si="207"/>
        <v>0</v>
      </c>
      <c r="W598" s="70">
        <f t="shared" ca="1" si="208"/>
        <v>0</v>
      </c>
      <c r="X598" s="70">
        <f t="shared" ca="1" si="209"/>
        <v>0</v>
      </c>
      <c r="Y598" s="71">
        <f t="shared" ca="1" si="210"/>
        <v>0</v>
      </c>
      <c r="Z598" s="71">
        <f t="shared" ca="1" si="218"/>
        <v>0</v>
      </c>
      <c r="AA598" s="71">
        <f t="shared" ca="1" si="211"/>
        <v>0</v>
      </c>
      <c r="AB598" s="71">
        <f t="shared" ca="1" si="212"/>
        <v>0</v>
      </c>
      <c r="AC598" s="71">
        <f t="shared" ca="1" si="219"/>
        <v>0</v>
      </c>
      <c r="AD598" s="71">
        <f t="shared" ca="1" si="213"/>
        <v>0</v>
      </c>
      <c r="AE598" s="72">
        <f t="shared" si="214"/>
        <v>0</v>
      </c>
      <c r="AF598" s="73">
        <f>IF(A598&gt;入力設定!$B$6*12,0,IF(AND(ISNUMBER(C598),C598&gt;=0,C598&lt;=1),0,1))</f>
        <v>0</v>
      </c>
    </row>
    <row r="599" spans="1:32" ht="21" customHeight="1">
      <c r="A599" s="68">
        <f>594</f>
        <v>594</v>
      </c>
      <c r="B599" s="69">
        <f>EDATE(入力設定!$B$7,A599-1)</f>
        <v>64376</v>
      </c>
      <c r="C599" s="80">
        <f>INDEX(入力設定!$C$15:$C$24,INT((A599-1)/60)+1)</f>
        <v>0.05</v>
      </c>
      <c r="D599" s="70">
        <f t="shared" ca="1" si="215"/>
        <v>0</v>
      </c>
      <c r="E599" s="70">
        <f t="shared" ca="1" si="216"/>
        <v>0</v>
      </c>
      <c r="F599" s="70">
        <f ca="1">IF(D599+Z599&lt;0.000001,0,IF(D599&lt;0.000001,F598,IF(OR(AE599=1,AND(K598&gt;0,入力設定!$B$8="返済額軽減型",入力設定!$B$11="翌月")),IF(C599=0,D599/MAX(1,E599),D599*(C599/12)/(1-(1+C599/12)^(-MAX(1,E599)))),F598)))</f>
        <v>0</v>
      </c>
      <c r="G599" s="70">
        <f t="shared" ca="1" si="198"/>
        <v>0</v>
      </c>
      <c r="H599" s="70">
        <f t="shared" ca="1" si="199"/>
        <v>0</v>
      </c>
      <c r="I599" s="70">
        <f t="shared" ca="1" si="200"/>
        <v>0</v>
      </c>
      <c r="J599" s="70">
        <f>SUMIFS(入力設定!$G$5:$G$24,入力設定!$F$5:$F$24,A599)</f>
        <v>0</v>
      </c>
      <c r="K599" s="70">
        <f t="shared" ca="1" si="201"/>
        <v>0</v>
      </c>
      <c r="L599" s="70">
        <f ca="1">IF(K599&gt;0,入力設定!$B$9,0)</f>
        <v>0</v>
      </c>
      <c r="M599" s="70">
        <f t="shared" ca="1" si="202"/>
        <v>0</v>
      </c>
      <c r="N599" s="70">
        <f ca="1">IF(M599+AA599&lt;0.000001,0,IF(AND(K599&gt;0,入力設定!$B$8="期間短縮型",AA599&lt;0.000001,F599&gt;M599*C599/12),MAX(1,MIN(E599-1,IF(C599=0,ROUNDUP(M599/F599,0),ROUNDUP(-LN(1-M599*(C599/12)/F599)/LN(1+C599/12),0)))),MAX(1,E599-1)))</f>
        <v>0</v>
      </c>
      <c r="O599" s="70">
        <f t="shared" ca="1" si="203"/>
        <v>0</v>
      </c>
      <c r="P599" s="70">
        <f t="shared" ca="1" si="217"/>
        <v>0</v>
      </c>
      <c r="Q599" s="70">
        <f ca="1">IF(OR(A599&gt;入力設定!$B$6*12,P599+AC599&lt;0.000001),0,IF(P599&lt;0.000001,Q598,IF(AE599=1,IF(C599=0,P599/MAX(1,入力設定!$B$6*12-A599+1),P599*(C599/12)/(1-(1+C599/12)^(-MAX(1,入力設定!$B$6*12-A599+1)))),Q598)))</f>
        <v>0</v>
      </c>
      <c r="R599" s="70">
        <f ca="1">IF(P599+AC599&lt;0.000001,0,IF(A599=入力設定!$B$6*12,P599+AB599+AC599,MIN(Q599,P599+AB599+AC599)))</f>
        <v>0</v>
      </c>
      <c r="S599" s="70">
        <f t="shared" ca="1" si="204"/>
        <v>0</v>
      </c>
      <c r="T599" s="70">
        <f t="shared" ca="1" si="205"/>
        <v>0</v>
      </c>
      <c r="U599" s="70">
        <f t="shared" ca="1" si="206"/>
        <v>0</v>
      </c>
      <c r="V599" s="70">
        <f t="shared" ca="1" si="207"/>
        <v>0</v>
      </c>
      <c r="W599" s="70">
        <f t="shared" ca="1" si="208"/>
        <v>0</v>
      </c>
      <c r="X599" s="70">
        <f t="shared" ca="1" si="209"/>
        <v>0</v>
      </c>
      <c r="Y599" s="71">
        <f t="shared" ca="1" si="210"/>
        <v>0</v>
      </c>
      <c r="Z599" s="71">
        <f t="shared" ca="1" si="218"/>
        <v>0</v>
      </c>
      <c r="AA599" s="71">
        <f t="shared" ca="1" si="211"/>
        <v>0</v>
      </c>
      <c r="AB599" s="71">
        <f t="shared" ca="1" si="212"/>
        <v>0</v>
      </c>
      <c r="AC599" s="71">
        <f t="shared" ca="1" si="219"/>
        <v>0</v>
      </c>
      <c r="AD599" s="71">
        <f t="shared" ca="1" si="213"/>
        <v>0</v>
      </c>
      <c r="AE599" s="72">
        <f t="shared" si="214"/>
        <v>0</v>
      </c>
      <c r="AF599" s="73">
        <f>IF(A599&gt;入力設定!$B$6*12,0,IF(AND(ISNUMBER(C599),C599&gt;=0,C599&lt;=1),0,1))</f>
        <v>0</v>
      </c>
    </row>
    <row r="600" spans="1:32" ht="21" customHeight="1">
      <c r="A600" s="68">
        <f>595</f>
        <v>595</v>
      </c>
      <c r="B600" s="69">
        <f>EDATE(入力設定!$B$7,A600-1)</f>
        <v>64406</v>
      </c>
      <c r="C600" s="80">
        <f>INDEX(入力設定!$C$15:$C$24,INT((A600-1)/60)+1)</f>
        <v>0.05</v>
      </c>
      <c r="D600" s="70">
        <f t="shared" ca="1" si="215"/>
        <v>0</v>
      </c>
      <c r="E600" s="70">
        <f t="shared" ca="1" si="216"/>
        <v>0</v>
      </c>
      <c r="F600" s="70">
        <f ca="1">IF(D600+Z600&lt;0.000001,0,IF(D600&lt;0.000001,F599,IF(OR(AE600=1,AND(K599&gt;0,入力設定!$B$8="返済額軽減型",入力設定!$B$11="翌月")),IF(C600=0,D600/MAX(1,E600),D600*(C600/12)/(1-(1+C600/12)^(-MAX(1,E600)))),F599)))</f>
        <v>0</v>
      </c>
      <c r="G600" s="70">
        <f t="shared" ca="1" si="198"/>
        <v>0</v>
      </c>
      <c r="H600" s="70">
        <f t="shared" ca="1" si="199"/>
        <v>0</v>
      </c>
      <c r="I600" s="70">
        <f t="shared" ca="1" si="200"/>
        <v>0</v>
      </c>
      <c r="J600" s="70">
        <f>SUMIFS(入力設定!$G$5:$G$24,入力設定!$F$5:$F$24,A600)</f>
        <v>0</v>
      </c>
      <c r="K600" s="70">
        <f t="shared" ca="1" si="201"/>
        <v>0</v>
      </c>
      <c r="L600" s="70">
        <f ca="1">IF(K600&gt;0,入力設定!$B$9,0)</f>
        <v>0</v>
      </c>
      <c r="M600" s="70">
        <f t="shared" ca="1" si="202"/>
        <v>0</v>
      </c>
      <c r="N600" s="70">
        <f ca="1">IF(M600+AA600&lt;0.000001,0,IF(AND(K600&gt;0,入力設定!$B$8="期間短縮型",AA600&lt;0.000001,F600&gt;M600*C600/12),MAX(1,MIN(E600-1,IF(C600=0,ROUNDUP(M600/F600,0),ROUNDUP(-LN(1-M600*(C600/12)/F600)/LN(1+C600/12),0)))),MAX(1,E600-1)))</f>
        <v>0</v>
      </c>
      <c r="O600" s="70">
        <f t="shared" ca="1" si="203"/>
        <v>0</v>
      </c>
      <c r="P600" s="70">
        <f t="shared" ca="1" si="217"/>
        <v>0</v>
      </c>
      <c r="Q600" s="70">
        <f ca="1">IF(OR(A600&gt;入力設定!$B$6*12,P600+AC600&lt;0.000001),0,IF(P600&lt;0.000001,Q599,IF(AE600=1,IF(C600=0,P600/MAX(1,入力設定!$B$6*12-A600+1),P600*(C600/12)/(1-(1+C600/12)^(-MAX(1,入力設定!$B$6*12-A600+1)))),Q599)))</f>
        <v>0</v>
      </c>
      <c r="R600" s="70">
        <f ca="1">IF(P600+AC600&lt;0.000001,0,IF(A600=入力設定!$B$6*12,P600+AB600+AC600,MIN(Q600,P600+AB600+AC600)))</f>
        <v>0</v>
      </c>
      <c r="S600" s="70">
        <f t="shared" ca="1" si="204"/>
        <v>0</v>
      </c>
      <c r="T600" s="70">
        <f t="shared" ca="1" si="205"/>
        <v>0</v>
      </c>
      <c r="U600" s="70">
        <f t="shared" ca="1" si="206"/>
        <v>0</v>
      </c>
      <c r="V600" s="70">
        <f t="shared" ca="1" si="207"/>
        <v>0</v>
      </c>
      <c r="W600" s="70">
        <f t="shared" ca="1" si="208"/>
        <v>0</v>
      </c>
      <c r="X600" s="70">
        <f t="shared" ca="1" si="209"/>
        <v>0</v>
      </c>
      <c r="Y600" s="71">
        <f t="shared" ca="1" si="210"/>
        <v>0</v>
      </c>
      <c r="Z600" s="71">
        <f t="shared" ca="1" si="218"/>
        <v>0</v>
      </c>
      <c r="AA600" s="71">
        <f t="shared" ca="1" si="211"/>
        <v>0</v>
      </c>
      <c r="AB600" s="71">
        <f t="shared" ca="1" si="212"/>
        <v>0</v>
      </c>
      <c r="AC600" s="71">
        <f t="shared" ca="1" si="219"/>
        <v>0</v>
      </c>
      <c r="AD600" s="71">
        <f t="shared" ca="1" si="213"/>
        <v>0</v>
      </c>
      <c r="AE600" s="72">
        <f t="shared" si="214"/>
        <v>0</v>
      </c>
      <c r="AF600" s="73">
        <f>IF(A600&gt;入力設定!$B$6*12,0,IF(AND(ISNUMBER(C600),C600&gt;=0,C600&lt;=1),0,1))</f>
        <v>0</v>
      </c>
    </row>
    <row r="601" spans="1:32" ht="21" customHeight="1">
      <c r="A601" s="68">
        <f>596</f>
        <v>596</v>
      </c>
      <c r="B601" s="69">
        <f>EDATE(入力設定!$B$7,A601-1)</f>
        <v>64437</v>
      </c>
      <c r="C601" s="80">
        <f>INDEX(入力設定!$C$15:$C$24,INT((A601-1)/60)+1)</f>
        <v>0.05</v>
      </c>
      <c r="D601" s="70">
        <f t="shared" ca="1" si="215"/>
        <v>0</v>
      </c>
      <c r="E601" s="70">
        <f t="shared" ca="1" si="216"/>
        <v>0</v>
      </c>
      <c r="F601" s="70">
        <f ca="1">IF(D601+Z601&lt;0.000001,0,IF(D601&lt;0.000001,F600,IF(OR(AE601=1,AND(K600&gt;0,入力設定!$B$8="返済額軽減型",入力設定!$B$11="翌月")),IF(C601=0,D601/MAX(1,E601),D601*(C601/12)/(1-(1+C601/12)^(-MAX(1,E601)))),F600)))</f>
        <v>0</v>
      </c>
      <c r="G601" s="70">
        <f t="shared" ca="1" si="198"/>
        <v>0</v>
      </c>
      <c r="H601" s="70">
        <f t="shared" ca="1" si="199"/>
        <v>0</v>
      </c>
      <c r="I601" s="70">
        <f t="shared" ca="1" si="200"/>
        <v>0</v>
      </c>
      <c r="J601" s="70">
        <f>SUMIFS(入力設定!$G$5:$G$24,入力設定!$F$5:$F$24,A601)</f>
        <v>0</v>
      </c>
      <c r="K601" s="70">
        <f t="shared" ca="1" si="201"/>
        <v>0</v>
      </c>
      <c r="L601" s="70">
        <f ca="1">IF(K601&gt;0,入力設定!$B$9,0)</f>
        <v>0</v>
      </c>
      <c r="M601" s="70">
        <f t="shared" ca="1" si="202"/>
        <v>0</v>
      </c>
      <c r="N601" s="70">
        <f ca="1">IF(M601+AA601&lt;0.000001,0,IF(AND(K601&gt;0,入力設定!$B$8="期間短縮型",AA601&lt;0.000001,F601&gt;M601*C601/12),MAX(1,MIN(E601-1,IF(C601=0,ROUNDUP(M601/F601,0),ROUNDUP(-LN(1-M601*(C601/12)/F601)/LN(1+C601/12),0)))),MAX(1,E601-1)))</f>
        <v>0</v>
      </c>
      <c r="O601" s="70">
        <f t="shared" ca="1" si="203"/>
        <v>0</v>
      </c>
      <c r="P601" s="70">
        <f t="shared" ca="1" si="217"/>
        <v>0</v>
      </c>
      <c r="Q601" s="70">
        <f ca="1">IF(OR(A601&gt;入力設定!$B$6*12,P601+AC601&lt;0.000001),0,IF(P601&lt;0.000001,Q600,IF(AE601=1,IF(C601=0,P601/MAX(1,入力設定!$B$6*12-A601+1),P601*(C601/12)/(1-(1+C601/12)^(-MAX(1,入力設定!$B$6*12-A601+1)))),Q600)))</f>
        <v>0</v>
      </c>
      <c r="R601" s="70">
        <f ca="1">IF(P601+AC601&lt;0.000001,0,IF(A601=入力設定!$B$6*12,P601+AB601+AC601,MIN(Q601,P601+AB601+AC601)))</f>
        <v>0</v>
      </c>
      <c r="S601" s="70">
        <f t="shared" ca="1" si="204"/>
        <v>0</v>
      </c>
      <c r="T601" s="70">
        <f t="shared" ca="1" si="205"/>
        <v>0</v>
      </c>
      <c r="U601" s="70">
        <f t="shared" ca="1" si="206"/>
        <v>0</v>
      </c>
      <c r="V601" s="70">
        <f t="shared" ca="1" si="207"/>
        <v>0</v>
      </c>
      <c r="W601" s="70">
        <f t="shared" ca="1" si="208"/>
        <v>0</v>
      </c>
      <c r="X601" s="70">
        <f t="shared" ca="1" si="209"/>
        <v>0</v>
      </c>
      <c r="Y601" s="71">
        <f t="shared" ca="1" si="210"/>
        <v>0</v>
      </c>
      <c r="Z601" s="71">
        <f t="shared" ca="1" si="218"/>
        <v>0</v>
      </c>
      <c r="AA601" s="71">
        <f t="shared" ca="1" si="211"/>
        <v>0</v>
      </c>
      <c r="AB601" s="71">
        <f t="shared" ca="1" si="212"/>
        <v>0</v>
      </c>
      <c r="AC601" s="71">
        <f t="shared" ca="1" si="219"/>
        <v>0</v>
      </c>
      <c r="AD601" s="71">
        <f t="shared" ca="1" si="213"/>
        <v>0</v>
      </c>
      <c r="AE601" s="72">
        <f t="shared" si="214"/>
        <v>0</v>
      </c>
      <c r="AF601" s="73">
        <f>IF(A601&gt;入力設定!$B$6*12,0,IF(AND(ISNUMBER(C601),C601&gt;=0,C601&lt;=1),0,1))</f>
        <v>0</v>
      </c>
    </row>
    <row r="602" spans="1:32" ht="21" customHeight="1">
      <c r="A602" s="68">
        <f>597</f>
        <v>597</v>
      </c>
      <c r="B602" s="69">
        <f>EDATE(入力設定!$B$7,A602-1)</f>
        <v>64467</v>
      </c>
      <c r="C602" s="80">
        <f>INDEX(入力設定!$C$15:$C$24,INT((A602-1)/60)+1)</f>
        <v>0.05</v>
      </c>
      <c r="D602" s="70">
        <f t="shared" ca="1" si="215"/>
        <v>0</v>
      </c>
      <c r="E602" s="70">
        <f t="shared" ca="1" si="216"/>
        <v>0</v>
      </c>
      <c r="F602" s="70">
        <f ca="1">IF(D602+Z602&lt;0.000001,0,IF(D602&lt;0.000001,F601,IF(OR(AE602=1,AND(K601&gt;0,入力設定!$B$8="返済額軽減型",入力設定!$B$11="翌月")),IF(C602=0,D602/MAX(1,E602),D602*(C602/12)/(1-(1+C602/12)^(-MAX(1,E602)))),F601)))</f>
        <v>0</v>
      </c>
      <c r="G602" s="70">
        <f t="shared" ca="1" si="198"/>
        <v>0</v>
      </c>
      <c r="H602" s="70">
        <f t="shared" ca="1" si="199"/>
        <v>0</v>
      </c>
      <c r="I602" s="70">
        <f t="shared" ca="1" si="200"/>
        <v>0</v>
      </c>
      <c r="J602" s="70">
        <f>SUMIFS(入力設定!$G$5:$G$24,入力設定!$F$5:$F$24,A602)</f>
        <v>0</v>
      </c>
      <c r="K602" s="70">
        <f t="shared" ca="1" si="201"/>
        <v>0</v>
      </c>
      <c r="L602" s="70">
        <f ca="1">IF(K602&gt;0,入力設定!$B$9,0)</f>
        <v>0</v>
      </c>
      <c r="M602" s="70">
        <f t="shared" ca="1" si="202"/>
        <v>0</v>
      </c>
      <c r="N602" s="70">
        <f ca="1">IF(M602+AA602&lt;0.000001,0,IF(AND(K602&gt;0,入力設定!$B$8="期間短縮型",AA602&lt;0.000001,F602&gt;M602*C602/12),MAX(1,MIN(E602-1,IF(C602=0,ROUNDUP(M602/F602,0),ROUNDUP(-LN(1-M602*(C602/12)/F602)/LN(1+C602/12),0)))),MAX(1,E602-1)))</f>
        <v>0</v>
      </c>
      <c r="O602" s="70">
        <f t="shared" ca="1" si="203"/>
        <v>0</v>
      </c>
      <c r="P602" s="70">
        <f t="shared" ca="1" si="217"/>
        <v>0</v>
      </c>
      <c r="Q602" s="70">
        <f ca="1">IF(OR(A602&gt;入力設定!$B$6*12,P602+AC602&lt;0.000001),0,IF(P602&lt;0.000001,Q601,IF(AE602=1,IF(C602=0,P602/MAX(1,入力設定!$B$6*12-A602+1),P602*(C602/12)/(1-(1+C602/12)^(-MAX(1,入力設定!$B$6*12-A602+1)))),Q601)))</f>
        <v>0</v>
      </c>
      <c r="R602" s="70">
        <f ca="1">IF(P602+AC602&lt;0.000001,0,IF(A602=入力設定!$B$6*12,P602+AB602+AC602,MIN(Q602,P602+AB602+AC602)))</f>
        <v>0</v>
      </c>
      <c r="S602" s="70">
        <f t="shared" ca="1" si="204"/>
        <v>0</v>
      </c>
      <c r="T602" s="70">
        <f t="shared" ca="1" si="205"/>
        <v>0</v>
      </c>
      <c r="U602" s="70">
        <f t="shared" ca="1" si="206"/>
        <v>0</v>
      </c>
      <c r="V602" s="70">
        <f t="shared" ca="1" si="207"/>
        <v>0</v>
      </c>
      <c r="W602" s="70">
        <f t="shared" ca="1" si="208"/>
        <v>0</v>
      </c>
      <c r="X602" s="70">
        <f t="shared" ca="1" si="209"/>
        <v>0</v>
      </c>
      <c r="Y602" s="71">
        <f t="shared" ca="1" si="210"/>
        <v>0</v>
      </c>
      <c r="Z602" s="71">
        <f t="shared" ca="1" si="218"/>
        <v>0</v>
      </c>
      <c r="AA602" s="71">
        <f t="shared" ca="1" si="211"/>
        <v>0</v>
      </c>
      <c r="AB602" s="71">
        <f t="shared" ca="1" si="212"/>
        <v>0</v>
      </c>
      <c r="AC602" s="71">
        <f t="shared" ca="1" si="219"/>
        <v>0</v>
      </c>
      <c r="AD602" s="71">
        <f t="shared" ca="1" si="213"/>
        <v>0</v>
      </c>
      <c r="AE602" s="72">
        <f t="shared" si="214"/>
        <v>0</v>
      </c>
      <c r="AF602" s="73">
        <f>IF(A602&gt;入力設定!$B$6*12,0,IF(AND(ISNUMBER(C602),C602&gt;=0,C602&lt;=1),0,1))</f>
        <v>0</v>
      </c>
    </row>
    <row r="603" spans="1:32" ht="21" customHeight="1">
      <c r="A603" s="68">
        <f>598</f>
        <v>598</v>
      </c>
      <c r="B603" s="69">
        <f>EDATE(入力設定!$B$7,A603-1)</f>
        <v>64498</v>
      </c>
      <c r="C603" s="80">
        <f>INDEX(入力設定!$C$15:$C$24,INT((A603-1)/60)+1)</f>
        <v>0.05</v>
      </c>
      <c r="D603" s="70">
        <f t="shared" ca="1" si="215"/>
        <v>0</v>
      </c>
      <c r="E603" s="70">
        <f t="shared" ca="1" si="216"/>
        <v>0</v>
      </c>
      <c r="F603" s="70">
        <f ca="1">IF(D603+Z603&lt;0.000001,0,IF(D603&lt;0.000001,F602,IF(OR(AE603=1,AND(K602&gt;0,入力設定!$B$8="返済額軽減型",入力設定!$B$11="翌月")),IF(C603=0,D603/MAX(1,E603),D603*(C603/12)/(1-(1+C603/12)^(-MAX(1,E603)))),F602)))</f>
        <v>0</v>
      </c>
      <c r="G603" s="70">
        <f t="shared" ca="1" si="198"/>
        <v>0</v>
      </c>
      <c r="H603" s="70">
        <f t="shared" ca="1" si="199"/>
        <v>0</v>
      </c>
      <c r="I603" s="70">
        <f t="shared" ca="1" si="200"/>
        <v>0</v>
      </c>
      <c r="J603" s="70">
        <f>SUMIFS(入力設定!$G$5:$G$24,入力設定!$F$5:$F$24,A603)</f>
        <v>0</v>
      </c>
      <c r="K603" s="70">
        <f t="shared" ca="1" si="201"/>
        <v>0</v>
      </c>
      <c r="L603" s="70">
        <f ca="1">IF(K603&gt;0,入力設定!$B$9,0)</f>
        <v>0</v>
      </c>
      <c r="M603" s="70">
        <f t="shared" ca="1" si="202"/>
        <v>0</v>
      </c>
      <c r="N603" s="70">
        <f ca="1">IF(M603+AA603&lt;0.000001,0,IF(AND(K603&gt;0,入力設定!$B$8="期間短縮型",AA603&lt;0.000001,F603&gt;M603*C603/12),MAX(1,MIN(E603-1,IF(C603=0,ROUNDUP(M603/F603,0),ROUNDUP(-LN(1-M603*(C603/12)/F603)/LN(1+C603/12),0)))),MAX(1,E603-1)))</f>
        <v>0</v>
      </c>
      <c r="O603" s="70">
        <f t="shared" ca="1" si="203"/>
        <v>0</v>
      </c>
      <c r="P603" s="70">
        <f t="shared" ca="1" si="217"/>
        <v>0</v>
      </c>
      <c r="Q603" s="70">
        <f ca="1">IF(OR(A603&gt;入力設定!$B$6*12,P603+AC603&lt;0.000001),0,IF(P603&lt;0.000001,Q602,IF(AE603=1,IF(C603=0,P603/MAX(1,入力設定!$B$6*12-A603+1),P603*(C603/12)/(1-(1+C603/12)^(-MAX(1,入力設定!$B$6*12-A603+1)))),Q602)))</f>
        <v>0</v>
      </c>
      <c r="R603" s="70">
        <f ca="1">IF(P603+AC603&lt;0.000001,0,IF(A603=入力設定!$B$6*12,P603+AB603+AC603,MIN(Q603,P603+AB603+AC603)))</f>
        <v>0</v>
      </c>
      <c r="S603" s="70">
        <f t="shared" ca="1" si="204"/>
        <v>0</v>
      </c>
      <c r="T603" s="70">
        <f t="shared" ca="1" si="205"/>
        <v>0</v>
      </c>
      <c r="U603" s="70">
        <f t="shared" ca="1" si="206"/>
        <v>0</v>
      </c>
      <c r="V603" s="70">
        <f t="shared" ca="1" si="207"/>
        <v>0</v>
      </c>
      <c r="W603" s="70">
        <f t="shared" ca="1" si="208"/>
        <v>0</v>
      </c>
      <c r="X603" s="70">
        <f t="shared" ca="1" si="209"/>
        <v>0</v>
      </c>
      <c r="Y603" s="71">
        <f t="shared" ca="1" si="210"/>
        <v>0</v>
      </c>
      <c r="Z603" s="71">
        <f t="shared" ca="1" si="218"/>
        <v>0</v>
      </c>
      <c r="AA603" s="71">
        <f t="shared" ca="1" si="211"/>
        <v>0</v>
      </c>
      <c r="AB603" s="71">
        <f t="shared" ca="1" si="212"/>
        <v>0</v>
      </c>
      <c r="AC603" s="71">
        <f t="shared" ca="1" si="219"/>
        <v>0</v>
      </c>
      <c r="AD603" s="71">
        <f t="shared" ca="1" si="213"/>
        <v>0</v>
      </c>
      <c r="AE603" s="72">
        <f t="shared" si="214"/>
        <v>0</v>
      </c>
      <c r="AF603" s="73">
        <f>IF(A603&gt;入力設定!$B$6*12,0,IF(AND(ISNUMBER(C603),C603&gt;=0,C603&lt;=1),0,1))</f>
        <v>0</v>
      </c>
    </row>
    <row r="604" spans="1:32" ht="21" customHeight="1">
      <c r="A604" s="68">
        <f>599</f>
        <v>599</v>
      </c>
      <c r="B604" s="69">
        <f>EDATE(入力設定!$B$7,A604-1)</f>
        <v>64529</v>
      </c>
      <c r="C604" s="80">
        <f>INDEX(入力設定!$C$15:$C$24,INT((A604-1)/60)+1)</f>
        <v>0.05</v>
      </c>
      <c r="D604" s="70">
        <f t="shared" ca="1" si="215"/>
        <v>0</v>
      </c>
      <c r="E604" s="70">
        <f t="shared" ca="1" si="216"/>
        <v>0</v>
      </c>
      <c r="F604" s="70">
        <f ca="1">IF(D604+Z604&lt;0.000001,0,IF(D604&lt;0.000001,F603,IF(OR(AE604=1,AND(K603&gt;0,入力設定!$B$8="返済額軽減型",入力設定!$B$11="翌月")),IF(C604=0,D604/MAX(1,E604),D604*(C604/12)/(1-(1+C604/12)^(-MAX(1,E604)))),F603)))</f>
        <v>0</v>
      </c>
      <c r="G604" s="70">
        <f t="shared" ca="1" si="198"/>
        <v>0</v>
      </c>
      <c r="H604" s="70">
        <f t="shared" ca="1" si="199"/>
        <v>0</v>
      </c>
      <c r="I604" s="70">
        <f t="shared" ca="1" si="200"/>
        <v>0</v>
      </c>
      <c r="J604" s="70">
        <f>SUMIFS(入力設定!$G$5:$G$24,入力設定!$F$5:$F$24,A604)</f>
        <v>0</v>
      </c>
      <c r="K604" s="70">
        <f t="shared" ca="1" si="201"/>
        <v>0</v>
      </c>
      <c r="L604" s="70">
        <f ca="1">IF(K604&gt;0,入力設定!$B$9,0)</f>
        <v>0</v>
      </c>
      <c r="M604" s="70">
        <f t="shared" ca="1" si="202"/>
        <v>0</v>
      </c>
      <c r="N604" s="70">
        <f ca="1">IF(M604+AA604&lt;0.000001,0,IF(AND(K604&gt;0,入力設定!$B$8="期間短縮型",AA604&lt;0.000001,F604&gt;M604*C604/12),MAX(1,MIN(E604-1,IF(C604=0,ROUNDUP(M604/F604,0),ROUNDUP(-LN(1-M604*(C604/12)/F604)/LN(1+C604/12),0)))),MAX(1,E604-1)))</f>
        <v>0</v>
      </c>
      <c r="O604" s="70">
        <f t="shared" ca="1" si="203"/>
        <v>0</v>
      </c>
      <c r="P604" s="70">
        <f t="shared" ca="1" si="217"/>
        <v>0</v>
      </c>
      <c r="Q604" s="70">
        <f ca="1">IF(OR(A604&gt;入力設定!$B$6*12,P604+AC604&lt;0.000001),0,IF(P604&lt;0.000001,Q603,IF(AE604=1,IF(C604=0,P604/MAX(1,入力設定!$B$6*12-A604+1),P604*(C604/12)/(1-(1+C604/12)^(-MAX(1,入力設定!$B$6*12-A604+1)))),Q603)))</f>
        <v>0</v>
      </c>
      <c r="R604" s="70">
        <f ca="1">IF(P604+AC604&lt;0.000001,0,IF(A604=入力設定!$B$6*12,P604+AB604+AC604,MIN(Q604,P604+AB604+AC604)))</f>
        <v>0</v>
      </c>
      <c r="S604" s="70">
        <f t="shared" ca="1" si="204"/>
        <v>0</v>
      </c>
      <c r="T604" s="70">
        <f t="shared" ca="1" si="205"/>
        <v>0</v>
      </c>
      <c r="U604" s="70">
        <f t="shared" ca="1" si="206"/>
        <v>0</v>
      </c>
      <c r="V604" s="70">
        <f t="shared" ca="1" si="207"/>
        <v>0</v>
      </c>
      <c r="W604" s="70">
        <f t="shared" ca="1" si="208"/>
        <v>0</v>
      </c>
      <c r="X604" s="70">
        <f t="shared" ca="1" si="209"/>
        <v>0</v>
      </c>
      <c r="Y604" s="71">
        <f t="shared" ca="1" si="210"/>
        <v>0</v>
      </c>
      <c r="Z604" s="71">
        <f t="shared" ca="1" si="218"/>
        <v>0</v>
      </c>
      <c r="AA604" s="71">
        <f t="shared" ca="1" si="211"/>
        <v>0</v>
      </c>
      <c r="AB604" s="71">
        <f t="shared" ca="1" si="212"/>
        <v>0</v>
      </c>
      <c r="AC604" s="71">
        <f t="shared" ca="1" si="219"/>
        <v>0</v>
      </c>
      <c r="AD604" s="71">
        <f t="shared" ca="1" si="213"/>
        <v>0</v>
      </c>
      <c r="AE604" s="72">
        <f t="shared" si="214"/>
        <v>0</v>
      </c>
      <c r="AF604" s="73">
        <f>IF(A604&gt;入力設定!$B$6*12,0,IF(AND(ISNUMBER(C604),C604&gt;=0,C604&lt;=1),0,1))</f>
        <v>0</v>
      </c>
    </row>
    <row r="605" spans="1:32" ht="21" customHeight="1">
      <c r="A605" s="74">
        <f>600</f>
        <v>600</v>
      </c>
      <c r="B605" s="75">
        <f>EDATE(入力設定!$B$7,A605-1)</f>
        <v>64559</v>
      </c>
      <c r="C605" s="81">
        <f>INDEX(入力設定!$C$15:$C$24,INT((A605-1)/60)+1)</f>
        <v>0.05</v>
      </c>
      <c r="D605" s="76">
        <f t="shared" ca="1" si="215"/>
        <v>0</v>
      </c>
      <c r="E605" s="76">
        <f t="shared" ca="1" si="216"/>
        <v>0</v>
      </c>
      <c r="F605" s="76">
        <f ca="1">IF(D605+Z605&lt;0.000001,0,IF(D605&lt;0.000001,F604,IF(OR(AE605=1,AND(K604&gt;0,入力設定!$B$8="返済額軽減型",入力設定!$B$11="翌月")),IF(C605=0,D605/MAX(1,E605),D605*(C605/12)/(1-(1+C605/12)^(-MAX(1,E605)))),F604)))</f>
        <v>0</v>
      </c>
      <c r="G605" s="76">
        <f t="shared" ca="1" si="198"/>
        <v>0</v>
      </c>
      <c r="H605" s="76">
        <f t="shared" ca="1" si="199"/>
        <v>0</v>
      </c>
      <c r="I605" s="76">
        <f t="shared" ca="1" si="200"/>
        <v>0</v>
      </c>
      <c r="J605" s="76">
        <f>SUMIFS(入力設定!$G$5:$G$24,入力設定!$F$5:$F$24,A605)</f>
        <v>0</v>
      </c>
      <c r="K605" s="76">
        <f t="shared" ca="1" si="201"/>
        <v>0</v>
      </c>
      <c r="L605" s="76">
        <f ca="1">IF(K605&gt;0,入力設定!$B$9,0)</f>
        <v>0</v>
      </c>
      <c r="M605" s="76">
        <f t="shared" ca="1" si="202"/>
        <v>0</v>
      </c>
      <c r="N605" s="76">
        <f ca="1">IF(M605+AA605&lt;0.000001,0,IF(AND(K605&gt;0,入力設定!$B$8="期間短縮型",AA605&lt;0.000001,F605&gt;M605*C605/12),MAX(1,MIN(E605-1,IF(C605=0,ROUNDUP(M605/F605,0),ROUNDUP(-LN(1-M605*(C605/12)/F605)/LN(1+C605/12),0)))),MAX(1,E605-1)))</f>
        <v>0</v>
      </c>
      <c r="O605" s="76">
        <f t="shared" ca="1" si="203"/>
        <v>0</v>
      </c>
      <c r="P605" s="76">
        <f t="shared" ca="1" si="217"/>
        <v>0</v>
      </c>
      <c r="Q605" s="76">
        <f ca="1">IF(OR(A605&gt;入力設定!$B$6*12,P605+AC605&lt;0.000001),0,IF(P605&lt;0.000001,Q604,IF(AE605=1,IF(C605=0,P605/MAX(1,入力設定!$B$6*12-A605+1),P605*(C605/12)/(1-(1+C605/12)^(-MAX(1,入力設定!$B$6*12-A605+1)))),Q604)))</f>
        <v>0</v>
      </c>
      <c r="R605" s="76">
        <f ca="1">IF(P605+AC605&lt;0.000001,0,IF(A605=入力設定!$B$6*12,P605+AB605+AC605,MIN(Q605,P605+AB605+AC605)))</f>
        <v>0</v>
      </c>
      <c r="S605" s="76">
        <f t="shared" ca="1" si="204"/>
        <v>0</v>
      </c>
      <c r="T605" s="76">
        <f t="shared" ca="1" si="205"/>
        <v>0</v>
      </c>
      <c r="U605" s="76">
        <f t="shared" ca="1" si="206"/>
        <v>0</v>
      </c>
      <c r="V605" s="76">
        <f t="shared" ca="1" si="207"/>
        <v>0</v>
      </c>
      <c r="W605" s="76">
        <f t="shared" ca="1" si="208"/>
        <v>0</v>
      </c>
      <c r="X605" s="76">
        <f t="shared" ca="1" si="209"/>
        <v>0</v>
      </c>
      <c r="Y605" s="77">
        <f t="shared" ca="1" si="210"/>
        <v>0</v>
      </c>
      <c r="Z605" s="77">
        <f t="shared" ca="1" si="218"/>
        <v>0</v>
      </c>
      <c r="AA605" s="77">
        <f t="shared" ca="1" si="211"/>
        <v>0</v>
      </c>
      <c r="AB605" s="77">
        <f t="shared" ca="1" si="212"/>
        <v>0</v>
      </c>
      <c r="AC605" s="77">
        <f t="shared" ca="1" si="219"/>
        <v>0</v>
      </c>
      <c r="AD605" s="77">
        <f t="shared" ca="1" si="213"/>
        <v>0</v>
      </c>
      <c r="AE605" s="78">
        <f t="shared" si="214"/>
        <v>0</v>
      </c>
      <c r="AF605" s="79">
        <f>IF(A605&gt;入力設定!$B$6*12,0,IF(AND(ISNUMBER(C605),C605&gt;=0,C605&lt;=1),0,1))</f>
        <v>0</v>
      </c>
    </row>
  </sheetData>
  <sheetProtection algorithmName="SHA-512" hashValue="WceUjqyXfEqXMxmmrrcsOjPG7rUmirPqnf9bfbcuH1OUmQ2U8yisF7VbLcQAwcFUcbFgZMMZgW3iiKQ6O44/Ig==" saltValue="OsHUOnlnCLhwr8t7ybhWSg==" spinCount="100000" sheet="1" objects="1" scenarios="1"/>
  <phoneticPr fontId="5"/>
  <conditionalFormatting sqref="K6:K605">
    <cfRule type="cellIs" dxfId="3" priority="1" operator="greaterThan">
      <formula>0</formula>
    </cfRule>
  </conditionalFormatting>
  <dataValidations count="1">
    <dataValidation type="decimal" sqref="C6:C605" xr:uid="{00000000-0002-0000-0200-000000000000}">
      <formula1>0</formula1>
      <formula2>1</formula2>
    </dataValidation>
  </dataValidations>
  <pageMargins left="0.7" right="0.7" top="0.75" bottom="0.75" header="0.3" footer="0.3"/>
  <pageSetup paperSize="8" scale="83" fitToHeight="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73D52"/>
  </sheetPr>
  <dimension ref="A1:L60"/>
  <sheetViews>
    <sheetView showGridLines="0" workbookViewId="0">
      <selection activeCell="A10" sqref="A10"/>
    </sheetView>
  </sheetViews>
  <sheetFormatPr defaultRowHeight="19.2" customHeight="1"/>
  <cols>
    <col min="1" max="1" width="38.69921875" style="4" customWidth="1"/>
    <col min="2" max="2" width="142.09765625" style="4" customWidth="1"/>
    <col min="3" max="12" width="15" style="4" customWidth="1"/>
    <col min="13" max="16384" width="8.796875" style="4"/>
  </cols>
  <sheetData>
    <row r="1" spans="1:12" ht="25.2" customHeight="1">
      <c r="A1" s="1" t="s">
        <v>78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</row>
    <row r="2" spans="1:12" ht="19.2" customHeight="1">
      <c r="A2" s="83" t="s">
        <v>130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spans="1:12" ht="19.2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2" customHeight="1">
      <c r="A4" s="3" t="s">
        <v>79</v>
      </c>
      <c r="B4" s="20" t="s">
        <v>80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9.2" customHeight="1">
      <c r="A5" s="3" t="s">
        <v>81</v>
      </c>
      <c r="B5" s="20" t="s">
        <v>82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9.2" customHeight="1">
      <c r="A6" s="3" t="s">
        <v>83</v>
      </c>
      <c r="B6" s="20" t="s">
        <v>84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9.2" customHeight="1">
      <c r="A7" s="3" t="s">
        <v>85</v>
      </c>
      <c r="B7" s="20" t="s">
        <v>86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9.2" customHeight="1">
      <c r="A8" s="3" t="s">
        <v>52</v>
      </c>
      <c r="B8" s="20" t="s">
        <v>87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9.2" customHeight="1">
      <c r="A9" s="3" t="s">
        <v>88</v>
      </c>
      <c r="B9" s="20" t="s">
        <v>89</v>
      </c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9.2" customHeight="1">
      <c r="A10" s="3" t="s">
        <v>38</v>
      </c>
      <c r="B10" s="20" t="s">
        <v>90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9.2" customHeight="1">
      <c r="A11" s="3" t="s">
        <v>91</v>
      </c>
      <c r="B11" s="20" t="s">
        <v>92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9.2" customHeight="1">
      <c r="A12" s="3" t="s">
        <v>93</v>
      </c>
      <c r="B12" s="20" t="s">
        <v>94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9.2" customHeight="1">
      <c r="A13" s="3" t="s">
        <v>57</v>
      </c>
      <c r="B13" s="20" t="s">
        <v>95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9.2" customHeight="1">
      <c r="A14" s="3" t="s">
        <v>96</v>
      </c>
      <c r="B14" s="20" t="s">
        <v>97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9.2" customHeight="1">
      <c r="A15" s="3" t="s">
        <v>98</v>
      </c>
      <c r="B15" s="20" t="s">
        <v>99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9.2" customHeight="1">
      <c r="A16" s="3" t="s">
        <v>100</v>
      </c>
      <c r="B16" s="20" t="s">
        <v>101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9.2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9.2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9.2" customHeight="1">
      <c r="A19" s="82" t="s">
        <v>102</v>
      </c>
      <c r="B19" s="82" t="s">
        <v>103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9.2" customHeight="1">
      <c r="A20" s="3" t="s">
        <v>104</v>
      </c>
      <c r="B20" s="11">
        <f ca="1">SUM(月次返済表!I6:I605,月次返済表!K6:K605)-入力設定!B5</f>
        <v>0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9.2" customHeight="1">
      <c r="A21" s="3" t="s">
        <v>105</v>
      </c>
      <c r="B21" s="11">
        <f ca="1">SUM(月次返済表!T6:T605)-入力設定!B5</f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2" customHeight="1">
      <c r="A22" s="3" t="s">
        <v>106</v>
      </c>
      <c r="B22" s="11">
        <f ca="1">月次返済表!M605</f>
        <v>0</v>
      </c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9.2" customHeight="1">
      <c r="A23" s="3" t="s">
        <v>107</v>
      </c>
      <c r="B23" s="11">
        <f ca="1">月次返済表!U605</f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9.2" customHeight="1">
      <c r="A24" s="3" t="s">
        <v>108</v>
      </c>
      <c r="B24" s="11">
        <f ca="1">MAX(MAX(月次返済表!V6:W605),-MIN(月次返済表!V6:W605))</f>
        <v>0</v>
      </c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9.2" customHeight="1">
      <c r="A25" s="3" t="s">
        <v>109</v>
      </c>
      <c r="B25" s="11">
        <f ca="1">SUM(月次返済表!O6:O605)-入力設定!B5-SUM(月次返済表!H6:H605,月次返済表!L6:L605)</f>
        <v>2.4028122425079346E-7</v>
      </c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9.2" customHeight="1">
      <c r="A26" s="3" t="s">
        <v>110</v>
      </c>
      <c r="B26" s="11">
        <f ca="1">SUM(入力設定!G5:G24)-SUM(月次返済表!K6:K605)</f>
        <v>0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9.2" customHeight="1">
      <c r="A27" s="3" t="s">
        <v>111</v>
      </c>
      <c r="B27" s="11">
        <f>COUNTIFS(入力設定!F5:F24,"&gt;0",入力設定!G5:G24,"")+COUNTIFS(入力設定!G5:G24,"&gt;0",入力設定!F5:F24,"")</f>
        <v>0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9.2" customHeight="1">
      <c r="A28" s="3" t="s">
        <v>112</v>
      </c>
      <c r="B28" s="20" t="s">
        <v>113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9.2" customHeight="1">
      <c r="A29" s="3" t="s">
        <v>114</v>
      </c>
      <c r="B29" s="20" t="s">
        <v>115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9.2" customHeight="1">
      <c r="A30" s="3" t="s">
        <v>116</v>
      </c>
      <c r="B30" s="20" t="s">
        <v>117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9.2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9.2" customHeight="1">
      <c r="A32" s="3" t="s">
        <v>118</v>
      </c>
      <c r="B32" s="11">
        <f ca="1">SUM(月次返済表!AF6:AF605)</f>
        <v>0</v>
      </c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9.2" customHeight="1">
      <c r="A33" s="3" t="s">
        <v>119</v>
      </c>
      <c r="B33" s="11">
        <f ca="1">MAX(月次返済表!AA6:AA605,月次返済表!AD6:AD605)</f>
        <v>0</v>
      </c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9.2" customHeight="1">
      <c r="A34" s="3" t="s">
        <v>120</v>
      </c>
      <c r="B34" s="11">
        <f ca="1">月次返済表!AA605</f>
        <v>0</v>
      </c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9.2" customHeight="1">
      <c r="A35" s="3" t="s">
        <v>121</v>
      </c>
      <c r="B35" s="11">
        <f ca="1">月次返済表!AD605</f>
        <v>0</v>
      </c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9.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9.2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9.2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9.2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9.2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9.2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9.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9.2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9.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9.2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9.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9.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9.2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9.2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9.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9.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9.2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9.2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9.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9.2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9.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9.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9.2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9.2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9.2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sheetProtection algorithmName="SHA-512" hashValue="NbbC//2L7P5v+h0c/2hKEreJRRYuJniUSe8s+jjcV8Y/4/K/SW3+QB1yYXovxDaRjfkZ/O9W6OgSJZIxLCSaIQ==" saltValue="/8gmGQtifDsiPrOcDB03aA==" spinCount="100000" sheet="1" objects="1" scenarios="1"/>
  <phoneticPr fontId="5"/>
  <conditionalFormatting sqref="B20:B25">
    <cfRule type="expression" dxfId="2" priority="1">
      <formula>ABS(B20)&gt;0.01</formula>
    </cfRule>
  </conditionalFormatting>
  <conditionalFormatting sqref="B27">
    <cfRule type="cellIs" dxfId="1" priority="2" operator="greaterThan">
      <formula>0</formula>
    </cfRule>
  </conditionalFormatting>
  <conditionalFormatting sqref="B32">
    <cfRule type="cellIs" dxfId="0" priority="3" operator="not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結果サマリー</vt:lpstr>
      <vt:lpstr>入力設定</vt:lpstr>
      <vt:lpstr>月次返済表</vt:lpstr>
      <vt:lpstr>使い方と検証</vt:lpstr>
      <vt:lpstr>結果サマリー!Print_Area</vt:lpstr>
      <vt:lpstr>月次返済表!Print_Area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TAKAHIRO ICHIKAWA</cp:lastModifiedBy>
  <cp:lastPrinted>2026-10-19T16:42:08Z</cp:lastPrinted>
  <dcterms:created xsi:type="dcterms:W3CDTF">2026-10-19T16:00:09Z</dcterms:created>
  <dcterms:modified xsi:type="dcterms:W3CDTF">2026-10-19T16:45:30Z</dcterms:modified>
</cp:coreProperties>
</file>